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armb\OneDrive\Desktop\"/>
    </mc:Choice>
  </mc:AlternateContent>
  <xr:revisionPtr revIDLastSave="0" documentId="8_{168CB9B4-2852-4A80-B3FE-BB0C0F03012E}" xr6:coauthVersionLast="45" xr6:coauthVersionMax="45" xr10:uidLastSave="{00000000-0000-0000-0000-000000000000}"/>
  <workbookProtection workbookPassword="DF83" lockStructure="1"/>
  <bookViews>
    <workbookView xWindow="-110" yWindow="-110" windowWidth="19420" windowHeight="10420" firstSheet="3" activeTab="3" xr2:uid="{00000000-000D-0000-FFFF-FFFF00000000}"/>
  </bookViews>
  <sheets>
    <sheet name="Sheet1" sheetId="1" state="hidden" r:id="rId1"/>
    <sheet name="Sheet2" sheetId="2" state="hidden" r:id="rId2"/>
    <sheet name="Design Questions" sheetId="3" state="hidden" r:id="rId3"/>
    <sheet name="Calculator" sheetId="5" r:id="rId4"/>
  </sheets>
  <definedNames>
    <definedName name="age">Sheet1!$G:$G</definedName>
    <definedName name="Age_calc" localSheetId="3">Calculator!$E$4</definedName>
    <definedName name="Age_calc">'Design Questions'!$K$5</definedName>
    <definedName name="height_cm">Sheet1!$I:$I</definedName>
    <definedName name="height_cm_calc" localSheetId="3">Calculator!$E$5</definedName>
    <definedName name="height_cm_calc">'Design Questions'!$K$6</definedName>
    <definedName name="_xlnm.Print_Area" localSheetId="3">Calculator!$B$2:$J$12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5" l="1"/>
  <c r="I26" i="5"/>
  <c r="I25" i="5"/>
  <c r="I24" i="5"/>
  <c r="I23" i="5"/>
  <c r="I22" i="5"/>
  <c r="J33" i="5"/>
  <c r="I33" i="5"/>
  <c r="H33" i="5"/>
  <c r="F33" i="5"/>
  <c r="J32" i="5"/>
  <c r="I32" i="5"/>
  <c r="H32" i="5"/>
  <c r="F32" i="5"/>
  <c r="J31" i="5"/>
  <c r="I31" i="5"/>
  <c r="H31" i="5"/>
  <c r="F31" i="5"/>
  <c r="J30" i="5"/>
  <c r="I30" i="5"/>
  <c r="H30" i="5"/>
  <c r="F30" i="5"/>
  <c r="J29" i="5"/>
  <c r="I29" i="5"/>
  <c r="H29" i="5"/>
  <c r="F29" i="5"/>
  <c r="J28" i="5"/>
  <c r="I28" i="5"/>
  <c r="H28" i="5"/>
  <c r="F28" i="5"/>
  <c r="J27" i="5"/>
  <c r="H27" i="5"/>
  <c r="F27" i="5"/>
  <c r="J26" i="5"/>
  <c r="H26" i="5"/>
  <c r="F26" i="5"/>
  <c r="J25" i="5"/>
  <c r="H25" i="5"/>
  <c r="F25" i="5"/>
  <c r="J24" i="5"/>
  <c r="H24" i="5"/>
  <c r="F24" i="5"/>
  <c r="J23" i="5"/>
  <c r="H23" i="5"/>
  <c r="F23" i="5"/>
  <c r="J22" i="5"/>
  <c r="F22" i="5"/>
  <c r="I16" i="3"/>
  <c r="J27" i="3"/>
  <c r="J21" i="3"/>
  <c r="J26" i="3"/>
  <c r="J20" i="3"/>
  <c r="J25" i="3"/>
  <c r="J19" i="3"/>
  <c r="J24" i="3"/>
  <c r="J18" i="3"/>
  <c r="J23" i="3"/>
  <c r="J22" i="3"/>
  <c r="J17" i="3"/>
  <c r="J16" i="3"/>
  <c r="I27" i="3"/>
  <c r="I26" i="3"/>
  <c r="I25" i="3"/>
  <c r="I21" i="3"/>
  <c r="I20" i="3"/>
  <c r="I19" i="3"/>
  <c r="I24" i="3"/>
  <c r="I23" i="3"/>
  <c r="I22" i="3"/>
  <c r="I18" i="3"/>
  <c r="I17" i="3"/>
  <c r="F16" i="3"/>
  <c r="H17" i="3"/>
  <c r="H18" i="3"/>
  <c r="H22" i="3"/>
  <c r="H23" i="3"/>
  <c r="H24" i="3"/>
  <c r="H19" i="3"/>
  <c r="H20" i="3"/>
  <c r="H21" i="3"/>
  <c r="H25" i="3"/>
  <c r="H26" i="3"/>
  <c r="H27" i="3"/>
  <c r="F17" i="3"/>
  <c r="F18" i="3"/>
  <c r="F22" i="3"/>
  <c r="F23" i="3"/>
  <c r="F24" i="3"/>
  <c r="F19" i="3"/>
  <c r="F20" i="3"/>
  <c r="F21" i="3"/>
  <c r="F25" i="3"/>
  <c r="F26" i="3"/>
  <c r="F27" i="3"/>
  <c r="K16" i="1"/>
  <c r="K3" i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D10" i="5" l="1"/>
  <c r="I7" i="5" s="1"/>
  <c r="J11" i="3"/>
  <c r="O8" i="3" s="1"/>
  <c r="D11" i="5"/>
  <c r="I8" i="5" s="1"/>
  <c r="J12" i="3"/>
  <c r="O9" i="3" s="1"/>
  <c r="E10" i="5" l="1"/>
  <c r="K11" i="3"/>
  <c r="K12" i="3"/>
  <c r="E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Shiner</author>
  </authors>
  <commentList>
    <comment ref="D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NHANES Ref used for ages 8 thru 18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Shiner</author>
  </authors>
  <commentList>
    <comment ref="C1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NHANES Ref used for ages 8 thru 18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CCA-C2040C-02</author>
    <author>Shiner</author>
  </authors>
  <commentList>
    <comment ref="A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Workbook Contains Hidden Sheets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CCA-C2040C-02: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NHANES Ref used for ages 8 thru 18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<sst xmlns="http://schemas.openxmlformats.org/spreadsheetml/2006/main" count="497" uniqueCount="136">
  <si>
    <t>Sex</t>
  </si>
  <si>
    <t>Race</t>
  </si>
  <si>
    <t>Age</t>
  </si>
  <si>
    <t>Ht (in)</t>
  </si>
  <si>
    <t>Ht (cm)</t>
  </si>
  <si>
    <t>Form Cell Ref</t>
  </si>
  <si>
    <t>Formula Text</t>
  </si>
  <si>
    <t>Male</t>
  </si>
  <si>
    <t>Female</t>
  </si>
  <si>
    <t>Cauc</t>
  </si>
  <si>
    <t>Af Amer</t>
  </si>
  <si>
    <t>Hisp</t>
  </si>
  <si>
    <t>Reference</t>
  </si>
  <si>
    <t>NHANES</t>
  </si>
  <si>
    <t>Wang X, Dockery DW, Wypij D, Gold DR, Speizer FE, Ware JH, Ferris</t>
  </si>
  <si>
    <t>BG Jr. Pulmonary function growth velocity in children 6 to 18 years</t>
  </si>
  <si>
    <t>of age. Am Rev Respir Dis. 1993;148(6 Pt 1):1502-1508.</t>
  </si>
  <si>
    <t>NHANES III UMHC - Caucasian</t>
  </si>
  <si>
    <t>=============================================</t>
  </si>
  <si>
    <t>FVC</t>
  </si>
  <si>
    <t xml:space="preserve">    Male</t>
  </si>
  <si>
    <t xml:space="preserve">        Wang(HSPH)(Cauc) Ped.Pulm 15:75-88(1993) &lt;= 6.00</t>
  </si>
  <si>
    <t xml:space="preserve">            Eqn: 2.71^(-.024+2.47*LN(HEIGHT_CM/100))</t>
  </si>
  <si>
    <t xml:space="preserve">            CI:  2.71^(-.024+2.47*LN(HEIGHT_CM/100))*.17</t>
  </si>
  <si>
    <t xml:space="preserve">        Wang(HSPH)(Cauc) Ped.Pulm 15:75-88(1993) &lt;= 7.00</t>
  </si>
  <si>
    <t xml:space="preserve">            Eqn: 2.71^(-0.018+2.489*LN(HEIGHT_CM/100))</t>
  </si>
  <si>
    <t xml:space="preserve">            CI:  2.71^(-0.018+2.489*LN(HEIGHT_CM/100))*(1.0-.83)</t>
  </si>
  <si>
    <t xml:space="preserve">        NHANES III (Caucasian). &lt;= 19.00</t>
  </si>
  <si>
    <t xml:space="preserve">            Eqn: -0.2584-0.20415*AGE+0.010133*AGE^2+0.00018642*HEIGHT_CM^2</t>
  </si>
  <si>
    <t xml:space="preserve">            CI:  (0.00018642 - 0.00015695)*HEIGHT_CM^2</t>
  </si>
  <si>
    <t xml:space="preserve">        NHANES III (Caucasian). &lt;= 99.00</t>
  </si>
  <si>
    <t xml:space="preserve">            Eqn: -0.1933+0.00064*AGE-0.000269*AGE^2+0.00018642*HEIGHT_CM^2</t>
  </si>
  <si>
    <t xml:space="preserve">    Female</t>
  </si>
  <si>
    <t xml:space="preserve">        NHANES III (Caucasian). &lt;= 17.00</t>
  </si>
  <si>
    <t xml:space="preserve">            Eqn: -1.2082+0.05916*AGE+0.00014815*HEIGHT_CM^2</t>
  </si>
  <si>
    <t xml:space="preserve">            CI:  (0.00014815 - 0.00012198)*HEIGHT_CM^2</t>
  </si>
  <si>
    <t xml:space="preserve">            Eqn: -0.3560+0.01870*AGE-0.000382*AGE^2+0.00014815*HEIGHT_CM^2</t>
  </si>
  <si>
    <t>FEV1</t>
  </si>
  <si>
    <t xml:space="preserve">            Eqn: -0.7453-0.04106*AGE+0.004477*AGE^2+0.00014098*HEIGHT_CM^2</t>
  </si>
  <si>
    <t xml:space="preserve">            CI:  (0.00014098 - 0.00011607)*HEIGHT_CM^2</t>
  </si>
  <si>
    <t xml:space="preserve">            Eqn: 0.5536-0.01303*AGE-0.000172*AGE^2+0.00014098*HEIGHT_CM^2</t>
  </si>
  <si>
    <t xml:space="preserve">            Eqn: -0.8710+0.06537*AGE+0.00011496*HEIGHT_CM^2</t>
  </si>
  <si>
    <t xml:space="preserve">            CI:  (0.00011496 - 0.00009283)*HEIGHT_CM^2</t>
  </si>
  <si>
    <t xml:space="preserve">            Eqn: 0.4333-0.00361*AGE-0.000194*AGE^2+0.00011496*HEIGHT_CM^2</t>
  </si>
  <si>
    <t>PEF</t>
  </si>
  <si>
    <t xml:space="preserve">            Eqn: -0.5962-0.12357*AGE+0.013135*AGE^2+0.00024962*HEIGHT_CM^2</t>
  </si>
  <si>
    <t xml:space="preserve">            CI:  (0.00024962 - 0.00017635)*HEIGHT_CM^2</t>
  </si>
  <si>
    <t xml:space="preserve">            Eqn: 1.0523+0.08272*AGE-0.001301*AGE^2+0.00024962*HEIGHT_CM^2</t>
  </si>
  <si>
    <t xml:space="preserve">            Eqn: -3.6181+0.60644*AGE-0.016846*AGE^2+0.00018623*HEIGHT_CM^2</t>
  </si>
  <si>
    <t xml:space="preserve">            CI:  (0.00018623 - 0.00012148)*HEIGHT_CM^2</t>
  </si>
  <si>
    <t xml:space="preserve">            Eqn: 0.9267+0.06929*AGE-0.001031*AGE^2+0.00018623*HEIGHT_CM^2</t>
  </si>
  <si>
    <t>NHANES III UMHC - African/Amer</t>
  </si>
  <si>
    <t xml:space="preserve">        Wang(HSPH)(Black)Ped.Pulm 15:75-88(1993) &lt;= 6.00</t>
  </si>
  <si>
    <t xml:space="preserve">            Eqn: 2.71^(-0.088+1.961*LN(HEIGHT_CM/100))</t>
  </si>
  <si>
    <t xml:space="preserve">            CI:  (2.71^(-0.088+1.961*LN(HEIGHT_CM/100)))*(1.0-.819)</t>
  </si>
  <si>
    <t xml:space="preserve">        Wang(HSPH)(Black)Ped.Pulm 15:75-88(1993) &lt;= 7.00</t>
  </si>
  <si>
    <t xml:space="preserve">            Eqn: 2.71^(-0.040+2.040*LN(HEIGHT_CM/100))</t>
  </si>
  <si>
    <t xml:space="preserve">            CI:  2.71^(-0.040+2.040*LN(HEIGHT_CM/100))*(1.0-.819)</t>
  </si>
  <si>
    <t xml:space="preserve">        NHANES III (Black). &lt;= 19.00</t>
  </si>
  <si>
    <t xml:space="preserve">            Eqn: -0.4971-0.15497*AGE+0.007701*AGE^2+0.00016643*HEIGHT_CM^2</t>
  </si>
  <si>
    <t xml:space="preserve">            CI:  (0.00016643 - 0.00013670)*HEIGHT_CM^2</t>
  </si>
  <si>
    <t xml:space="preserve">        NHANES III (Black). &lt;= 99.00</t>
  </si>
  <si>
    <t xml:space="preserve">            Eqn: -0.1517-0.01821*AGE+0.00016643*HEIGHT_CM^2</t>
  </si>
  <si>
    <t xml:space="preserve">        NHANES III (Black). &lt;= 17.00</t>
  </si>
  <si>
    <t xml:space="preserve">            Eqn: -0.6166-0.04687*AGE+0.003602*AGE^2+0.00013606*HEIGHT_CM^2</t>
  </si>
  <si>
    <t xml:space="preserve">            CI:  (0.00013606 - 0.00010916)*HEIGHT_CM^2</t>
  </si>
  <si>
    <t xml:space="preserve">            Eqn: -0.3039+0.00536*AGE-0.000265*AGE^2+0.00013606*HEIGHT_CM^2</t>
  </si>
  <si>
    <t xml:space="preserve">            Eqn: -0.7048-0.05711*AGE+0.004316*AGE^2+0.00013194*HEIGHT_CM^2</t>
  </si>
  <si>
    <t xml:space="preserve">            CI:  (0.00013194 - 0.00010561)*HEIGHT_CM^2</t>
  </si>
  <si>
    <t xml:space="preserve">            Eqn: 0.3411-0.02309*AGE+0.00013194*HEIGHT_CM^2</t>
  </si>
  <si>
    <t xml:space="preserve">            Eqn: -0.9630+0.05799*AGE+0.00010846*HEIGHT_CM^2</t>
  </si>
  <si>
    <t xml:space="preserve">            CI:  (0.00010846 - 0.00008546)*HEIGHT_CM^2</t>
  </si>
  <si>
    <t xml:space="preserve">            Eqn: 0.3433-0.01283*AGE-0.000097*AGE^2+0.00010846*HEIGHT_CM^2</t>
  </si>
  <si>
    <t xml:space="preserve">            Eqn: -0.2684-0.28016*AGE+0.018202*AGE^2+0.00027333*HEIGHT_CM^2</t>
  </si>
  <si>
    <t xml:space="preserve">            CI:  (0.00027333 - 0.00018938)*HEIGHT_CM^2</t>
  </si>
  <si>
    <t xml:space="preserve">            Eqn: 2.2257-0.04082*AGE+0.00027333*HEIGHT_CM^2</t>
  </si>
  <si>
    <t xml:space="preserve">            Eqn: -1.2398+0.16375*AGE+0.00019746*HEIGHT_CM^2</t>
  </si>
  <si>
    <t xml:space="preserve">            CI:  (0.00019746 - 0.00012160)*HEIGHT_CM^2</t>
  </si>
  <si>
    <t xml:space="preserve">            Eqn: 1.3597+0.03458*AGE-0.000847*AGE^2+0.00019746*HEIGHT_CM^2</t>
  </si>
  <si>
    <t>NHANES III UMHC - Hispanic/Ame</t>
  </si>
  <si>
    <t xml:space="preserve">        NHANES III (Hispanic). &lt;= 19.00</t>
  </si>
  <si>
    <t xml:space="preserve">            Eqn: -0.7571-0.09520*AGE+0.006619*AGE^2+0.00017823*HEIGHT_CM^2</t>
  </si>
  <si>
    <t xml:space="preserve">            CI:  (0.00017823 - 0.00014947)*HEIGHT_CM^2</t>
  </si>
  <si>
    <t xml:space="preserve">        NHANES III (Hispanic). &lt;= 99.00</t>
  </si>
  <si>
    <t xml:space="preserve">            Eqn: 0.2376-0.00891*AGE-0.000182*AGE^2+0.00017823*HEIGHT_CM^2</t>
  </si>
  <si>
    <t xml:space="preserve">        NHANES III (Hispanic). &lt;= 17.00</t>
  </si>
  <si>
    <t xml:space="preserve">            Eqn: -1.2507+0.07501*AGE+0.00014246*HEIGHT_CM^2</t>
  </si>
  <si>
    <t xml:space="preserve">            CI:  (0.00014246 - 0.00011570)*HEIGHT_CM^2</t>
  </si>
  <si>
    <t xml:space="preserve">            Eqn: 0.1210+0.00307*AGE-0.000237*AGE^2+0.00014246*HEIGHT_CM^2</t>
  </si>
  <si>
    <t xml:space="preserve">            Eqn: -0.8218-0.04248*AGE+0.004291*AGE^2+0.00015104*HEIGHT_CM^2</t>
  </si>
  <si>
    <t xml:space="preserve">            CI:  (0.00015104 - 0.00012670)*HEIGHT_CM^2</t>
  </si>
  <si>
    <t xml:space="preserve">            Eqn: 0.6306-0.02928*AGE+0.00015104*HEIGHT_CM^2</t>
  </si>
  <si>
    <t xml:space="preserve">            Eqn: -0.9641+0.06490*AGE+0.00012154*HEIGHT_CM^2</t>
  </si>
  <si>
    <t xml:space="preserve">            CI:  (0.00012154 - 0.00009890)*HEIGHT_CM^2</t>
  </si>
  <si>
    <t xml:space="preserve">            Eqn: 0.452 -0.01178*AGE-0.000113*AGE^2+0.00012154*HEIGHT_CM^2</t>
  </si>
  <si>
    <t xml:space="preserve">            Eqn: -0.6646-0.11270*AGE+0.007306*AGE^2+0.00017840*HEIGHT_CM^2</t>
  </si>
  <si>
    <t xml:space="preserve">            CI:  (0.00017840 - 0.00015029)*HEIGHT_CM^2</t>
  </si>
  <si>
    <t xml:space="preserve">            Eqn: 0.5757-0.02860*AGE+0.00017840*HEIGHT_CM^2</t>
  </si>
  <si>
    <t xml:space="preserve">            Eqn: -1.2410+0.07625*AGE+0.00014106*HEIGHT_CM^2</t>
  </si>
  <si>
    <t xml:space="preserve">            CI:  (0.00014106 - 0.00011480)*HEIGHT_CM^2</t>
  </si>
  <si>
    <t xml:space="preserve">            Eqn: 0.2033+0.00020*AGE-0.000232*AGE^2+0.00014106*HEIGHT_CM^2</t>
  </si>
  <si>
    <t xml:space="preserve">            Eqn: -0.9537-0.19602*AGE+0.014497*AGE^2+0.00030243*HEIGHT_CM^2</t>
  </si>
  <si>
    <t xml:space="preserve">            CI:  (0.00030243 - 0.00021833)*HEIGHT_CM^2</t>
  </si>
  <si>
    <t xml:space="preserve">            Eqn: 0.0870+0.06580*AGE-0.001195*AGE^2+0.00030243*HEIGHT_CM^2</t>
  </si>
  <si>
    <t xml:space="preserve">            Eqn: -3.2549+0.47495*AGE-0.013193*AGE^2+0.00022203*HEIGHT_CM^2</t>
  </si>
  <si>
    <t xml:space="preserve">            CI:  (0.00022203 - 0.00014611)*HEIGHT_CM^2</t>
  </si>
  <si>
    <t xml:space="preserve">            Eqn: 0.2401+0.06174*AGE-0.001023*AGE^2+0.00022203*HEIGHT_CM^2</t>
  </si>
  <si>
    <t>Param</t>
  </si>
  <si>
    <t>PF</t>
  </si>
  <si>
    <t>Eqn: -0.5962-0.12357*AGE+0.013135*AGE^2+0.00024962*HEIGHT_CM^2</t>
  </si>
  <si>
    <t>Eqn: -0.2684-0.28016*AGE+0.018202*AGE^2+0.00027333*HEIGHT_CM^2</t>
  </si>
  <si>
    <t>Eqn: -0.9537-0.19602*AGE+0.014497*AGE^2+0.00030243*HEIGHT_CM^2</t>
  </si>
  <si>
    <t>Eqn: -0.7453-0.04106*AGE+0.004477*AGE^2+0.00014098*HEIGHT_CM^2</t>
  </si>
  <si>
    <t>Eqn: -0.7048-0.05711*AGE+0.004316*AGE^2+0.00013194*HEIGHT_CM^2</t>
  </si>
  <si>
    <t>Eqn: -0.8218-0.04248*AGE+0.004291*AGE^2+0.00015104*HEIGHT_CM^2</t>
  </si>
  <si>
    <t>Eqn: -3.6181+0.60644*AGE-0.016846*AGE^2+0.00018623*HEIGHT_CM^2</t>
  </si>
  <si>
    <t>Eqn: -1.2398+0.16375*AGE+0.00019746*HEIGHT_CM^2</t>
  </si>
  <si>
    <t>Eqn: -3.2549+0.47495*AGE-0.013193*AGE^2+0.00022203*HEIGHT_CM^2</t>
  </si>
  <si>
    <t>Eqn: -0.8710+0.06537*AGE+0.00011496*HEIGHT_CM^2</t>
  </si>
  <si>
    <t>Eqn: -0.9630+0.05799*AGE+0.00010846*HEIGHT_CM^2</t>
  </si>
  <si>
    <t>Eqn: -0.9641+0.06490*AGE+0.00012154*HEIGHT_CM^2</t>
  </si>
  <si>
    <t>Can height be entered in inches and/or cm</t>
  </si>
  <si>
    <t>Will names be added</t>
  </si>
  <si>
    <t>Will data be stored</t>
  </si>
  <si>
    <t>Develop individual report that can be printed /e-mailed easily</t>
  </si>
  <si>
    <t>Name</t>
  </si>
  <si>
    <t>Predicted</t>
  </si>
  <si>
    <t>T/F</t>
  </si>
  <si>
    <t>Peak Flow</t>
  </si>
  <si>
    <t>Actual PF</t>
  </si>
  <si>
    <t>Actual FEV1</t>
  </si>
  <si>
    <t>% Pred</t>
  </si>
  <si>
    <t>What units of measure are used (l/sec vs l/min)</t>
  </si>
  <si>
    <t>Manual Data Entry</t>
  </si>
  <si>
    <t>Calculated Value</t>
  </si>
  <si>
    <t>Can this be internet based?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</si>
</sst>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24"/>
      <name val="Arial"/>
      <family val="2"/>
    </font>
    <font>
      <b/>
      <sz val="24"/>
      <name val="Arial"/>
      <family val="2"/>
    </font>
    <font>
      <sz val="24"/>
      <name val="Calibri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0" fontId="6" fillId="4" borderId="5" xfId="0" applyFont="1" applyFill="1" applyBorder="1"/>
    <xf numFmtId="0" fontId="6" fillId="4" borderId="6" xfId="0" applyFont="1" applyFill="1" applyBorder="1" applyAlignment="1">
      <alignment horizontal="center"/>
    </xf>
    <xf numFmtId="0" fontId="0" fillId="4" borderId="0" xfId="0" applyFill="1" applyBorder="1"/>
    <xf numFmtId="0" fontId="0" fillId="4" borderId="7" xfId="0" applyFill="1" applyBorder="1"/>
    <xf numFmtId="0" fontId="6" fillId="4" borderId="8" xfId="0" applyFont="1" applyFill="1" applyBorder="1" applyAlignment="1">
      <alignment horizontal="center"/>
    </xf>
    <xf numFmtId="165" fontId="0" fillId="4" borderId="9" xfId="1" applyNumberFormat="1" applyFont="1" applyFill="1" applyBorder="1"/>
    <xf numFmtId="0" fontId="0" fillId="4" borderId="2" xfId="0" applyFill="1" applyBorder="1" applyAlignment="1">
      <alignment horizontal="center"/>
    </xf>
    <xf numFmtId="9" fontId="6" fillId="4" borderId="0" xfId="0" applyNumberFormat="1" applyFont="1" applyFill="1" applyBorder="1" applyAlignment="1">
      <alignment horizontal="center"/>
    </xf>
    <xf numFmtId="9" fontId="6" fillId="4" borderId="7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2" fontId="0" fillId="4" borderId="17" xfId="0" applyNumberFormat="1" applyFill="1" applyBorder="1"/>
    <xf numFmtId="0" fontId="0" fillId="4" borderId="17" xfId="0" applyFill="1" applyBorder="1" applyAlignment="1">
      <alignment horizontal="center"/>
    </xf>
    <xf numFmtId="0" fontId="0" fillId="4" borderId="18" xfId="0" applyFill="1" applyBorder="1"/>
    <xf numFmtId="0" fontId="6" fillId="4" borderId="19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2" fontId="7" fillId="5" borderId="3" xfId="0" applyNumberFormat="1" applyFont="1" applyFill="1" applyBorder="1" applyAlignment="1">
      <alignment horizontal="center"/>
    </xf>
    <xf numFmtId="165" fontId="0" fillId="4" borderId="5" xfId="1" applyNumberFormat="1" applyFont="1" applyFill="1" applyBorder="1"/>
    <xf numFmtId="0" fontId="7" fillId="5" borderId="8" xfId="0" applyFon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2" fontId="0" fillId="6" borderId="22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1" fillId="0" borderId="0" xfId="0" applyFont="1"/>
    <xf numFmtId="2" fontId="0" fillId="4" borderId="0" xfId="0" applyNumberFormat="1" applyFill="1" applyBorder="1"/>
    <xf numFmtId="0" fontId="10" fillId="4" borderId="11" xfId="0" applyFont="1" applyFill="1" applyBorder="1"/>
    <xf numFmtId="0" fontId="10" fillId="4" borderId="12" xfId="0" applyFont="1" applyFill="1" applyBorder="1"/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/>
    <xf numFmtId="0" fontId="10" fillId="4" borderId="14" xfId="0" applyFont="1" applyFill="1" applyBorder="1"/>
    <xf numFmtId="0" fontId="10" fillId="4" borderId="1" xfId="0" applyFont="1" applyFill="1" applyBorder="1"/>
    <xf numFmtId="0" fontId="11" fillId="4" borderId="19" xfId="0" applyFont="1" applyFill="1" applyBorder="1" applyAlignment="1">
      <alignment horizontal="right"/>
    </xf>
    <xf numFmtId="0" fontId="1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15" xfId="0" applyFont="1" applyFill="1" applyBorder="1"/>
    <xf numFmtId="0" fontId="10" fillId="4" borderId="2" xfId="0" applyFont="1" applyFill="1" applyBorder="1"/>
    <xf numFmtId="0" fontId="11" fillId="4" borderId="0" xfId="0" applyFont="1" applyFill="1" applyBorder="1" applyAlignment="1">
      <alignment horizontal="right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/>
    <xf numFmtId="0" fontId="11" fillId="4" borderId="5" xfId="0" applyFont="1" applyFill="1" applyBorder="1"/>
    <xf numFmtId="0" fontId="11" fillId="4" borderId="6" xfId="0" applyFont="1" applyFill="1" applyBorder="1" applyAlignment="1">
      <alignment horizontal="center"/>
    </xf>
    <xf numFmtId="165" fontId="10" fillId="4" borderId="5" xfId="1" applyNumberFormat="1" applyFont="1" applyFill="1" applyBorder="1"/>
    <xf numFmtId="0" fontId="10" fillId="4" borderId="7" xfId="0" applyFont="1" applyFill="1" applyBorder="1"/>
    <xf numFmtId="0" fontId="11" fillId="4" borderId="8" xfId="0" applyFont="1" applyFill="1" applyBorder="1" applyAlignment="1">
      <alignment horizontal="center"/>
    </xf>
    <xf numFmtId="165" fontId="10" fillId="4" borderId="9" xfId="1" applyNumberFormat="1" applyFont="1" applyFill="1" applyBorder="1"/>
    <xf numFmtId="0" fontId="10" fillId="4" borderId="2" xfId="0" applyFont="1" applyFill="1" applyBorder="1" applyAlignment="1">
      <alignment horizontal="center"/>
    </xf>
    <xf numFmtId="9" fontId="11" fillId="4" borderId="0" xfId="0" applyNumberFormat="1" applyFont="1" applyFill="1" applyBorder="1" applyAlignment="1">
      <alignment horizontal="center"/>
    </xf>
    <xf numFmtId="9" fontId="11" fillId="4" borderId="7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2" fontId="10" fillId="6" borderId="21" xfId="0" applyNumberFormat="1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0" xfId="0" applyNumberFormat="1" applyFont="1" applyFill="1" applyBorder="1" applyAlignment="1">
      <alignment horizontal="left"/>
    </xf>
    <xf numFmtId="0" fontId="10" fillId="4" borderId="16" xfId="0" applyFont="1" applyFill="1" applyBorder="1"/>
    <xf numFmtId="0" fontId="10" fillId="4" borderId="17" xfId="0" applyFont="1" applyFill="1" applyBorder="1"/>
    <xf numFmtId="2" fontId="10" fillId="4" borderId="17" xfId="0" applyNumberFormat="1" applyFont="1" applyFill="1" applyBorder="1"/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0" xfId="0" applyFont="1" applyFill="1"/>
    <xf numFmtId="0" fontId="12" fillId="5" borderId="24" xfId="0" applyFont="1" applyFill="1" applyBorder="1" applyAlignment="1" applyProtection="1">
      <alignment horizontal="center"/>
      <protection locked="0"/>
    </xf>
    <xf numFmtId="0" fontId="12" fillId="5" borderId="25" xfId="0" applyFont="1" applyFill="1" applyBorder="1" applyAlignment="1" applyProtection="1">
      <alignment horizontal="center"/>
      <protection locked="0"/>
    </xf>
    <xf numFmtId="0" fontId="12" fillId="5" borderId="8" xfId="0" applyFont="1" applyFill="1" applyBorder="1" applyAlignment="1" applyProtection="1">
      <alignment horizontal="center"/>
      <protection locked="0"/>
    </xf>
    <xf numFmtId="0" fontId="9" fillId="5" borderId="23" xfId="0" applyFont="1" applyFill="1" applyBorder="1" applyAlignment="1" applyProtection="1">
      <alignment horizontal="center"/>
      <protection locked="0"/>
    </xf>
    <xf numFmtId="1" fontId="10" fillId="6" borderId="3" xfId="0" applyNumberFormat="1" applyFont="1" applyFill="1" applyBorder="1" applyAlignment="1">
      <alignment horizontal="center"/>
    </xf>
    <xf numFmtId="1" fontId="10" fillId="6" borderId="20" xfId="0" applyNumberFormat="1" applyFont="1" applyFill="1" applyBorder="1" applyAlignment="1">
      <alignment horizontal="center"/>
    </xf>
    <xf numFmtId="1" fontId="12" fillId="5" borderId="3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2:K16"/>
  <sheetViews>
    <sheetView topLeftCell="C2" workbookViewId="0">
      <selection activeCell="J10" sqref="J10"/>
    </sheetView>
  </sheetViews>
  <sheetFormatPr defaultColWidth="8.81640625" defaultRowHeight="12.5" x14ac:dyDescent="0.25"/>
  <cols>
    <col min="1" max="3" width="8.81640625" style="2"/>
    <col min="4" max="4" width="9.7265625" style="2" bestFit="1" customWidth="1"/>
    <col min="5" max="9" width="8.1796875" style="2" customWidth="1"/>
    <col min="10" max="10" width="70.1796875" style="2" bestFit="1" customWidth="1"/>
    <col min="11" max="11" width="13.54296875" style="2" bestFit="1" customWidth="1"/>
    <col min="12" max="16384" width="8.81640625" style="2"/>
  </cols>
  <sheetData>
    <row r="2" spans="3:11" s="1" customFormat="1" ht="13" x14ac:dyDescent="0.3">
      <c r="C2" s="1" t="s">
        <v>107</v>
      </c>
      <c r="D2" s="1" t="s">
        <v>12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6</v>
      </c>
      <c r="K2" s="1" t="s">
        <v>5</v>
      </c>
    </row>
    <row r="3" spans="3:11" x14ac:dyDescent="0.25">
      <c r="C3" s="2" t="s">
        <v>108</v>
      </c>
      <c r="D3" s="2" t="s">
        <v>13</v>
      </c>
      <c r="E3" s="2" t="s">
        <v>7</v>
      </c>
      <c r="F3" s="2" t="s">
        <v>9</v>
      </c>
      <c r="G3" s="2">
        <v>10</v>
      </c>
      <c r="I3" s="2">
        <v>150</v>
      </c>
      <c r="J3" t="s">
        <v>109</v>
      </c>
      <c r="K3">
        <f>(-0.5962-0.12357*age+0.013135*age^2+0.00024962*height_cm^2)</f>
        <v>5.0980499999999997</v>
      </c>
    </row>
    <row r="4" spans="3:11" x14ac:dyDescent="0.25">
      <c r="C4" s="2" t="s">
        <v>108</v>
      </c>
      <c r="D4" s="2" t="s">
        <v>13</v>
      </c>
      <c r="E4" s="2" t="s">
        <v>7</v>
      </c>
      <c r="F4" s="2" t="s">
        <v>10</v>
      </c>
      <c r="I4" s="2">
        <f t="shared" ref="I4:I14" si="0">H4*2.54</f>
        <v>0</v>
      </c>
      <c r="J4" t="s">
        <v>110</v>
      </c>
      <c r="K4">
        <f>(-0.2684-0.28016*age+0.018202*age^2+0.00027333*height_cm^2)</f>
        <v>-0.26840000000000003</v>
      </c>
    </row>
    <row r="5" spans="3:11" x14ac:dyDescent="0.25">
      <c r="C5" s="2" t="s">
        <v>108</v>
      </c>
      <c r="D5" s="2" t="s">
        <v>13</v>
      </c>
      <c r="E5" s="2" t="s">
        <v>7</v>
      </c>
      <c r="F5" s="2" t="s">
        <v>11</v>
      </c>
      <c r="I5" s="2">
        <f t="shared" si="0"/>
        <v>0</v>
      </c>
      <c r="J5" t="s">
        <v>111</v>
      </c>
      <c r="K5">
        <f>(-0.9537-0.19602*age+0.014497*age^2+0.00030243*height_cm^2)</f>
        <v>-0.95369999999999999</v>
      </c>
    </row>
    <row r="6" spans="3:11" x14ac:dyDescent="0.25">
      <c r="C6" s="2" t="s">
        <v>37</v>
      </c>
      <c r="D6" s="2" t="s">
        <v>13</v>
      </c>
      <c r="E6" s="2" t="s">
        <v>7</v>
      </c>
      <c r="F6" s="2" t="s">
        <v>9</v>
      </c>
      <c r="I6" s="2">
        <f t="shared" si="0"/>
        <v>0</v>
      </c>
      <c r="J6" t="s">
        <v>112</v>
      </c>
      <c r="K6">
        <f>(-0.7453-0.04106*age+0.004477*age^2+0.00014098*height_cm^2)</f>
        <v>-0.74529999999999996</v>
      </c>
    </row>
    <row r="7" spans="3:11" x14ac:dyDescent="0.25">
      <c r="C7" s="2" t="s">
        <v>37</v>
      </c>
      <c r="D7" s="2" t="s">
        <v>13</v>
      </c>
      <c r="E7" s="2" t="s">
        <v>7</v>
      </c>
      <c r="F7" s="2" t="s">
        <v>10</v>
      </c>
      <c r="I7" s="2">
        <f t="shared" si="0"/>
        <v>0</v>
      </c>
      <c r="J7" t="s">
        <v>113</v>
      </c>
      <c r="K7">
        <f>(-0.7048-0.05711*age+0.004316*age^2+0.00013194*height_cm^2)</f>
        <v>-0.70479999999999998</v>
      </c>
    </row>
    <row r="8" spans="3:11" x14ac:dyDescent="0.25">
      <c r="C8" s="2" t="s">
        <v>37</v>
      </c>
      <c r="D8" s="2" t="s">
        <v>13</v>
      </c>
      <c r="E8" s="2" t="s">
        <v>7</v>
      </c>
      <c r="F8" s="2" t="s">
        <v>11</v>
      </c>
      <c r="I8" s="2">
        <f t="shared" si="0"/>
        <v>0</v>
      </c>
      <c r="J8" t="s">
        <v>114</v>
      </c>
      <c r="K8">
        <f>(-0.8218-0.04248*age+0.004291*age^2+0.00015104*height_cm^2)</f>
        <v>-0.82179999999999997</v>
      </c>
    </row>
    <row r="9" spans="3:11" x14ac:dyDescent="0.25">
      <c r="C9" s="2" t="s">
        <v>108</v>
      </c>
      <c r="D9" s="2" t="s">
        <v>13</v>
      </c>
      <c r="E9" s="2" t="s">
        <v>8</v>
      </c>
      <c r="F9" s="2" t="s">
        <v>9</v>
      </c>
      <c r="I9" s="2">
        <f t="shared" si="0"/>
        <v>0</v>
      </c>
      <c r="J9" t="s">
        <v>115</v>
      </c>
      <c r="K9">
        <f>(-3.6181+0.60644*age-0.016846*age^2+0.00018623*height_cm^2)</f>
        <v>-3.6181000000000001</v>
      </c>
    </row>
    <row r="10" spans="3:11" x14ac:dyDescent="0.25">
      <c r="C10" s="2" t="s">
        <v>108</v>
      </c>
      <c r="D10" s="2" t="s">
        <v>13</v>
      </c>
      <c r="E10" s="2" t="s">
        <v>8</v>
      </c>
      <c r="F10" s="2" t="s">
        <v>10</v>
      </c>
      <c r="I10" s="2">
        <f t="shared" si="0"/>
        <v>0</v>
      </c>
      <c r="J10" t="s">
        <v>116</v>
      </c>
      <c r="K10">
        <f>(-1.2398+0.16375*age+0.00019746*height_cm^2)</f>
        <v>-1.2398</v>
      </c>
    </row>
    <row r="11" spans="3:11" x14ac:dyDescent="0.25">
      <c r="C11" s="2" t="s">
        <v>108</v>
      </c>
      <c r="D11" s="2" t="s">
        <v>13</v>
      </c>
      <c r="E11" s="2" t="s">
        <v>8</v>
      </c>
      <c r="F11" s="2" t="s">
        <v>11</v>
      </c>
      <c r="I11" s="2">
        <f t="shared" si="0"/>
        <v>0</v>
      </c>
      <c r="J11" t="s">
        <v>117</v>
      </c>
      <c r="K11">
        <f>(-3.2549+0.47495*age-0.013193*age^2+0.00022203*height_cm^2)</f>
        <v>-3.2549000000000001</v>
      </c>
    </row>
    <row r="12" spans="3:11" x14ac:dyDescent="0.25">
      <c r="C12" s="2" t="s">
        <v>37</v>
      </c>
      <c r="D12" s="2" t="s">
        <v>13</v>
      </c>
      <c r="E12" s="2" t="s">
        <v>8</v>
      </c>
      <c r="F12" s="2" t="s">
        <v>9</v>
      </c>
      <c r="I12" s="2">
        <f t="shared" si="0"/>
        <v>0</v>
      </c>
      <c r="J12" t="s">
        <v>118</v>
      </c>
      <c r="K12">
        <f>(-0.871+0.06537*age+0.00011496*height_cm^2)</f>
        <v>-0.871</v>
      </c>
    </row>
    <row r="13" spans="3:11" x14ac:dyDescent="0.25">
      <c r="C13" s="2" t="s">
        <v>37</v>
      </c>
      <c r="D13" s="2" t="s">
        <v>13</v>
      </c>
      <c r="E13" s="2" t="s">
        <v>8</v>
      </c>
      <c r="F13" s="2" t="s">
        <v>10</v>
      </c>
      <c r="I13" s="2">
        <f t="shared" si="0"/>
        <v>0</v>
      </c>
      <c r="J13" t="s">
        <v>119</v>
      </c>
      <c r="K13">
        <f>(-0.963+0.05799*age+0.00010846*height_cm^2)</f>
        <v>-0.96299999999999997</v>
      </c>
    </row>
    <row r="14" spans="3:11" x14ac:dyDescent="0.25">
      <c r="C14" s="2" t="s">
        <v>37</v>
      </c>
      <c r="D14" s="2" t="s">
        <v>13</v>
      </c>
      <c r="E14" s="2" t="s">
        <v>8</v>
      </c>
      <c r="F14" s="2" t="s">
        <v>11</v>
      </c>
      <c r="I14" s="2">
        <f t="shared" si="0"/>
        <v>0</v>
      </c>
      <c r="J14" t="s">
        <v>120</v>
      </c>
      <c r="K14">
        <f>(-0.9641+0.0649*age+0.00012154*height_cm^2)</f>
        <v>-0.96409999999999996</v>
      </c>
    </row>
    <row r="16" spans="3:11" x14ac:dyDescent="0.25">
      <c r="G16" s="2">
        <v>10</v>
      </c>
      <c r="I16" s="2">
        <v>150</v>
      </c>
      <c r="K16">
        <f>(-0.5962-0.12357*G16+0.013135*(G16*G16)+0.00024962*(I16*I16))</f>
        <v>5.0980499999999997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G172"/>
  <sheetViews>
    <sheetView topLeftCell="A91" zoomScale="75" workbookViewId="0">
      <selection activeCell="D117" sqref="D117"/>
    </sheetView>
  </sheetViews>
  <sheetFormatPr defaultRowHeight="12.5" x14ac:dyDescent="0.25"/>
  <cols>
    <col min="2" max="2" width="50.7265625" customWidth="1"/>
    <col min="4" max="4" width="50.7265625" customWidth="1"/>
  </cols>
  <sheetData>
    <row r="3" spans="2:6" x14ac:dyDescent="0.25">
      <c r="B3" t="s">
        <v>17</v>
      </c>
      <c r="D3" t="s">
        <v>51</v>
      </c>
      <c r="F3" t="s">
        <v>79</v>
      </c>
    </row>
    <row r="4" spans="2:6" x14ac:dyDescent="0.25">
      <c r="B4" t="s">
        <v>18</v>
      </c>
      <c r="D4" t="s">
        <v>18</v>
      </c>
      <c r="F4" t="s">
        <v>18</v>
      </c>
    </row>
    <row r="5" spans="2:6" x14ac:dyDescent="0.25">
      <c r="B5" t="s">
        <v>19</v>
      </c>
      <c r="D5" t="s">
        <v>19</v>
      </c>
      <c r="F5" t="s">
        <v>19</v>
      </c>
    </row>
    <row r="6" spans="2:6" x14ac:dyDescent="0.25">
      <c r="B6" t="s">
        <v>20</v>
      </c>
      <c r="D6" t="s">
        <v>20</v>
      </c>
      <c r="F6" t="s">
        <v>20</v>
      </c>
    </row>
    <row r="7" spans="2:6" x14ac:dyDescent="0.25">
      <c r="B7" t="s">
        <v>21</v>
      </c>
      <c r="D7" t="s">
        <v>52</v>
      </c>
    </row>
    <row r="8" spans="2:6" x14ac:dyDescent="0.25">
      <c r="B8" t="s">
        <v>22</v>
      </c>
      <c r="D8" t="s">
        <v>53</v>
      </c>
    </row>
    <row r="9" spans="2:6" x14ac:dyDescent="0.25">
      <c r="B9" t="s">
        <v>23</v>
      </c>
      <c r="D9" t="s">
        <v>54</v>
      </c>
    </row>
    <row r="10" spans="2:6" x14ac:dyDescent="0.25">
      <c r="B10" t="s">
        <v>24</v>
      </c>
      <c r="D10" t="s">
        <v>55</v>
      </c>
    </row>
    <row r="11" spans="2:6" x14ac:dyDescent="0.25">
      <c r="B11" t="s">
        <v>25</v>
      </c>
      <c r="D11" t="s">
        <v>56</v>
      </c>
    </row>
    <row r="12" spans="2:6" x14ac:dyDescent="0.25">
      <c r="B12" t="s">
        <v>26</v>
      </c>
      <c r="D12" t="s">
        <v>57</v>
      </c>
    </row>
    <row r="13" spans="2:6" x14ac:dyDescent="0.25">
      <c r="B13" t="s">
        <v>27</v>
      </c>
      <c r="D13" t="s">
        <v>58</v>
      </c>
      <c r="F13" t="s">
        <v>80</v>
      </c>
    </row>
    <row r="14" spans="2:6" x14ac:dyDescent="0.25">
      <c r="B14" t="s">
        <v>28</v>
      </c>
      <c r="D14" t="s">
        <v>59</v>
      </c>
      <c r="F14" t="s">
        <v>81</v>
      </c>
    </row>
    <row r="15" spans="2:6" x14ac:dyDescent="0.25">
      <c r="B15" t="s">
        <v>29</v>
      </c>
      <c r="D15" t="s">
        <v>60</v>
      </c>
      <c r="F15" t="s">
        <v>82</v>
      </c>
    </row>
    <row r="16" spans="2:6" x14ac:dyDescent="0.25">
      <c r="B16" t="s">
        <v>30</v>
      </c>
      <c r="D16" t="s">
        <v>61</v>
      </c>
      <c r="F16" t="s">
        <v>83</v>
      </c>
    </row>
    <row r="17" spans="2:6" x14ac:dyDescent="0.25">
      <c r="B17" t="s">
        <v>31</v>
      </c>
      <c r="D17" t="s">
        <v>62</v>
      </c>
      <c r="F17" t="s">
        <v>84</v>
      </c>
    </row>
    <row r="18" spans="2:6" x14ac:dyDescent="0.25">
      <c r="B18" t="s">
        <v>29</v>
      </c>
      <c r="D18" t="s">
        <v>60</v>
      </c>
      <c r="F18" t="s">
        <v>82</v>
      </c>
    </row>
    <row r="19" spans="2:6" x14ac:dyDescent="0.25">
      <c r="B19" t="s">
        <v>32</v>
      </c>
      <c r="D19" t="s">
        <v>32</v>
      </c>
      <c r="F19" t="s">
        <v>32</v>
      </c>
    </row>
    <row r="20" spans="2:6" x14ac:dyDescent="0.25">
      <c r="B20" t="s">
        <v>33</v>
      </c>
      <c r="D20" t="s">
        <v>63</v>
      </c>
      <c r="F20" t="s">
        <v>85</v>
      </c>
    </row>
    <row r="21" spans="2:6" x14ac:dyDescent="0.25">
      <c r="B21" t="s">
        <v>34</v>
      </c>
      <c r="D21" t="s">
        <v>64</v>
      </c>
      <c r="F21" t="s">
        <v>86</v>
      </c>
    </row>
    <row r="22" spans="2:6" x14ac:dyDescent="0.25">
      <c r="B22" t="s">
        <v>35</v>
      </c>
      <c r="D22" t="s">
        <v>65</v>
      </c>
      <c r="F22" t="s">
        <v>87</v>
      </c>
    </row>
    <row r="23" spans="2:6" x14ac:dyDescent="0.25">
      <c r="B23" t="s">
        <v>30</v>
      </c>
      <c r="D23" t="s">
        <v>61</v>
      </c>
      <c r="F23" t="s">
        <v>83</v>
      </c>
    </row>
    <row r="24" spans="2:6" x14ac:dyDescent="0.25">
      <c r="B24" t="s">
        <v>36</v>
      </c>
      <c r="D24" t="s">
        <v>66</v>
      </c>
      <c r="F24" t="s">
        <v>88</v>
      </c>
    </row>
    <row r="25" spans="2:6" x14ac:dyDescent="0.25">
      <c r="B25" t="s">
        <v>35</v>
      </c>
      <c r="D25" t="s">
        <v>65</v>
      </c>
      <c r="F25" t="s">
        <v>87</v>
      </c>
    </row>
    <row r="26" spans="2:6" s="3" customFormat="1" x14ac:dyDescent="0.25">
      <c r="B26" s="3" t="s">
        <v>37</v>
      </c>
      <c r="D26" s="3" t="s">
        <v>37</v>
      </c>
      <c r="F26" s="3" t="s">
        <v>37</v>
      </c>
    </row>
    <row r="27" spans="2:6" x14ac:dyDescent="0.25">
      <c r="B27" t="s">
        <v>20</v>
      </c>
      <c r="D27" t="s">
        <v>20</v>
      </c>
      <c r="F27" t="s">
        <v>20</v>
      </c>
    </row>
    <row r="28" spans="2:6" x14ac:dyDescent="0.25">
      <c r="B28" t="s">
        <v>27</v>
      </c>
      <c r="D28" t="s">
        <v>58</v>
      </c>
      <c r="F28" t="s">
        <v>80</v>
      </c>
    </row>
    <row r="29" spans="2:6" x14ac:dyDescent="0.25">
      <c r="B29" t="s">
        <v>38</v>
      </c>
      <c r="D29" t="s">
        <v>67</v>
      </c>
      <c r="F29" t="s">
        <v>89</v>
      </c>
    </row>
    <row r="30" spans="2:6" x14ac:dyDescent="0.25">
      <c r="B30" t="s">
        <v>39</v>
      </c>
      <c r="D30" t="s">
        <v>68</v>
      </c>
      <c r="F30" t="s">
        <v>90</v>
      </c>
    </row>
    <row r="31" spans="2:6" x14ac:dyDescent="0.25">
      <c r="B31" t="s">
        <v>30</v>
      </c>
      <c r="D31" t="s">
        <v>61</v>
      </c>
      <c r="F31" t="s">
        <v>83</v>
      </c>
    </row>
    <row r="32" spans="2:6" x14ac:dyDescent="0.25">
      <c r="B32" t="s">
        <v>40</v>
      </c>
      <c r="D32" t="s">
        <v>69</v>
      </c>
      <c r="F32" t="s">
        <v>91</v>
      </c>
    </row>
    <row r="33" spans="2:6" x14ac:dyDescent="0.25">
      <c r="B33" t="s">
        <v>39</v>
      </c>
      <c r="D33" t="s">
        <v>68</v>
      </c>
      <c r="F33" t="s">
        <v>90</v>
      </c>
    </row>
    <row r="34" spans="2:6" x14ac:dyDescent="0.25">
      <c r="B34" t="s">
        <v>32</v>
      </c>
      <c r="D34" t="s">
        <v>32</v>
      </c>
      <c r="F34" t="s">
        <v>32</v>
      </c>
    </row>
    <row r="35" spans="2:6" x14ac:dyDescent="0.25">
      <c r="B35" t="s">
        <v>33</v>
      </c>
      <c r="D35" t="s">
        <v>63</v>
      </c>
      <c r="F35" t="s">
        <v>85</v>
      </c>
    </row>
    <row r="36" spans="2:6" x14ac:dyDescent="0.25">
      <c r="B36" t="s">
        <v>41</v>
      </c>
      <c r="D36" t="s">
        <v>70</v>
      </c>
      <c r="F36" t="s">
        <v>92</v>
      </c>
    </row>
    <row r="37" spans="2:6" x14ac:dyDescent="0.25">
      <c r="B37" t="s">
        <v>42</v>
      </c>
      <c r="D37" t="s">
        <v>71</v>
      </c>
      <c r="F37" t="s">
        <v>93</v>
      </c>
    </row>
    <row r="38" spans="2:6" x14ac:dyDescent="0.25">
      <c r="B38" t="s">
        <v>30</v>
      </c>
      <c r="D38" t="s">
        <v>61</v>
      </c>
      <c r="F38" t="s">
        <v>83</v>
      </c>
    </row>
    <row r="39" spans="2:6" x14ac:dyDescent="0.25">
      <c r="B39" t="s">
        <v>43</v>
      </c>
      <c r="D39" t="s">
        <v>72</v>
      </c>
      <c r="F39" t="s">
        <v>94</v>
      </c>
    </row>
    <row r="40" spans="2:6" x14ac:dyDescent="0.25">
      <c r="B40" t="s">
        <v>42</v>
      </c>
      <c r="D40" t="s">
        <v>71</v>
      </c>
      <c r="F40" t="s">
        <v>93</v>
      </c>
    </row>
    <row r="41" spans="2:6" s="3" customFormat="1" x14ac:dyDescent="0.25">
      <c r="B41" s="3" t="s">
        <v>44</v>
      </c>
      <c r="D41" s="3" t="s">
        <v>44</v>
      </c>
      <c r="F41" s="3" t="s">
        <v>44</v>
      </c>
    </row>
    <row r="42" spans="2:6" x14ac:dyDescent="0.25">
      <c r="B42" t="s">
        <v>20</v>
      </c>
      <c r="D42" t="s">
        <v>20</v>
      </c>
      <c r="F42" t="s">
        <v>20</v>
      </c>
    </row>
    <row r="43" spans="2:6" x14ac:dyDescent="0.25">
      <c r="B43" t="s">
        <v>27</v>
      </c>
      <c r="D43" t="s">
        <v>58</v>
      </c>
      <c r="F43" t="s">
        <v>80</v>
      </c>
    </row>
    <row r="44" spans="2:6" x14ac:dyDescent="0.25">
      <c r="B44" t="s">
        <v>45</v>
      </c>
      <c r="D44" t="s">
        <v>73</v>
      </c>
      <c r="F44" t="s">
        <v>101</v>
      </c>
    </row>
    <row r="45" spans="2:6" x14ac:dyDescent="0.25">
      <c r="B45" t="s">
        <v>46</v>
      </c>
      <c r="D45" t="s">
        <v>74</v>
      </c>
      <c r="F45" t="s">
        <v>102</v>
      </c>
    </row>
    <row r="46" spans="2:6" x14ac:dyDescent="0.25">
      <c r="B46" t="s">
        <v>30</v>
      </c>
      <c r="D46" t="s">
        <v>61</v>
      </c>
      <c r="F46" t="s">
        <v>83</v>
      </c>
    </row>
    <row r="47" spans="2:6" x14ac:dyDescent="0.25">
      <c r="B47" t="s">
        <v>47</v>
      </c>
      <c r="D47" t="s">
        <v>75</v>
      </c>
      <c r="F47" t="s">
        <v>103</v>
      </c>
    </row>
    <row r="48" spans="2:6" x14ac:dyDescent="0.25">
      <c r="B48" t="s">
        <v>46</v>
      </c>
      <c r="D48" t="s">
        <v>74</v>
      </c>
      <c r="F48" t="s">
        <v>102</v>
      </c>
    </row>
    <row r="49" spans="1:7" x14ac:dyDescent="0.25">
      <c r="B49" t="s">
        <v>32</v>
      </c>
      <c r="D49" t="s">
        <v>32</v>
      </c>
      <c r="F49" t="s">
        <v>32</v>
      </c>
    </row>
    <row r="50" spans="1:7" x14ac:dyDescent="0.25">
      <c r="B50" t="s">
        <v>33</v>
      </c>
      <c r="D50" t="s">
        <v>63</v>
      </c>
      <c r="F50" t="s">
        <v>85</v>
      </c>
    </row>
    <row r="51" spans="1:7" x14ac:dyDescent="0.25">
      <c r="B51" t="s">
        <v>48</v>
      </c>
      <c r="D51" t="s">
        <v>76</v>
      </c>
      <c r="F51" t="s">
        <v>104</v>
      </c>
    </row>
    <row r="52" spans="1:7" x14ac:dyDescent="0.25">
      <c r="B52" t="s">
        <v>49</v>
      </c>
      <c r="D52" t="s">
        <v>77</v>
      </c>
      <c r="F52" t="s">
        <v>105</v>
      </c>
    </row>
    <row r="53" spans="1:7" x14ac:dyDescent="0.25">
      <c r="B53" t="s">
        <v>30</v>
      </c>
      <c r="D53" t="s">
        <v>61</v>
      </c>
      <c r="F53" t="s">
        <v>83</v>
      </c>
    </row>
    <row r="54" spans="1:7" x14ac:dyDescent="0.25">
      <c r="B54" t="s">
        <v>50</v>
      </c>
      <c r="D54" t="s">
        <v>78</v>
      </c>
      <c r="F54" t="s">
        <v>106</v>
      </c>
    </row>
    <row r="55" spans="1:7" x14ac:dyDescent="0.25">
      <c r="B55" t="s">
        <v>49</v>
      </c>
      <c r="D55" t="s">
        <v>77</v>
      </c>
      <c r="F55" t="s">
        <v>105</v>
      </c>
    </row>
    <row r="57" spans="1:7" x14ac:dyDescent="0.25">
      <c r="A57" s="4"/>
      <c r="B57" s="4" t="s">
        <v>51</v>
      </c>
      <c r="C57" s="4"/>
      <c r="D57" s="4"/>
    </row>
    <row r="58" spans="1:7" x14ac:dyDescent="0.25">
      <c r="A58" s="4"/>
      <c r="B58" s="4" t="s">
        <v>18</v>
      </c>
      <c r="C58" s="4"/>
      <c r="D58" s="4"/>
    </row>
    <row r="59" spans="1:7" x14ac:dyDescent="0.25">
      <c r="A59" s="4"/>
      <c r="B59" s="4" t="s">
        <v>19</v>
      </c>
      <c r="C59" s="4"/>
      <c r="D59" s="4"/>
    </row>
    <row r="60" spans="1:7" x14ac:dyDescent="0.25">
      <c r="A60" s="4"/>
      <c r="B60" s="4" t="s">
        <v>20</v>
      </c>
      <c r="C60" s="4"/>
      <c r="D60" s="4"/>
    </row>
    <row r="61" spans="1:7" x14ac:dyDescent="0.25">
      <c r="A61" s="4"/>
      <c r="B61" s="4" t="s">
        <v>52</v>
      </c>
      <c r="C61" s="4"/>
      <c r="D61" s="4"/>
    </row>
    <row r="62" spans="1:7" x14ac:dyDescent="0.25">
      <c r="A62" s="4"/>
      <c r="B62" s="4" t="s">
        <v>53</v>
      </c>
      <c r="C62" s="4"/>
      <c r="D62" s="4"/>
    </row>
    <row r="63" spans="1:7" x14ac:dyDescent="0.25">
      <c r="A63" s="4"/>
      <c r="B63" s="4" t="s">
        <v>54</v>
      </c>
      <c r="C63" s="4"/>
      <c r="D63" s="4"/>
      <c r="G63" s="2" t="s">
        <v>14</v>
      </c>
    </row>
    <row r="64" spans="1:7" x14ac:dyDescent="0.25">
      <c r="A64" s="4"/>
      <c r="B64" s="4" t="s">
        <v>55</v>
      </c>
      <c r="C64" s="4"/>
      <c r="D64" s="4"/>
      <c r="G64" s="2" t="s">
        <v>15</v>
      </c>
    </row>
    <row r="65" spans="1:7" x14ac:dyDescent="0.25">
      <c r="A65" s="4"/>
      <c r="B65" s="4" t="s">
        <v>56</v>
      </c>
      <c r="C65" s="4"/>
      <c r="D65" s="4"/>
      <c r="G65" s="2" t="s">
        <v>16</v>
      </c>
    </row>
    <row r="66" spans="1:7" x14ac:dyDescent="0.25">
      <c r="A66" s="4"/>
      <c r="B66" s="4" t="s">
        <v>57</v>
      </c>
      <c r="C66" s="4"/>
      <c r="D66" s="4"/>
    </row>
    <row r="67" spans="1:7" x14ac:dyDescent="0.25">
      <c r="A67" s="4"/>
      <c r="B67" s="4" t="s">
        <v>58</v>
      </c>
      <c r="C67" s="4"/>
      <c r="D67" s="4"/>
    </row>
    <row r="68" spans="1:7" x14ac:dyDescent="0.25">
      <c r="A68" s="4"/>
      <c r="B68" s="4" t="s">
        <v>59</v>
      </c>
      <c r="C68" s="4"/>
      <c r="D68" s="4"/>
    </row>
    <row r="69" spans="1:7" x14ac:dyDescent="0.25">
      <c r="A69" s="4"/>
      <c r="B69" s="4" t="s">
        <v>60</v>
      </c>
      <c r="C69" s="4"/>
      <c r="D69" s="4"/>
    </row>
    <row r="70" spans="1:7" x14ac:dyDescent="0.25">
      <c r="A70" s="4"/>
      <c r="B70" s="4" t="s">
        <v>61</v>
      </c>
      <c r="C70" s="4"/>
      <c r="D70" s="4"/>
    </row>
    <row r="71" spans="1:7" x14ac:dyDescent="0.25">
      <c r="A71" s="4"/>
      <c r="B71" s="4" t="s">
        <v>62</v>
      </c>
      <c r="C71" s="4"/>
      <c r="D71" s="4"/>
    </row>
    <row r="72" spans="1:7" x14ac:dyDescent="0.25">
      <c r="A72" s="4"/>
      <c r="B72" s="4" t="s">
        <v>60</v>
      </c>
      <c r="C72" s="4"/>
      <c r="D72" s="4"/>
    </row>
    <row r="73" spans="1:7" x14ac:dyDescent="0.25">
      <c r="A73" s="4"/>
      <c r="B73" s="4" t="s">
        <v>32</v>
      </c>
      <c r="C73" s="4"/>
      <c r="D73" s="4"/>
    </row>
    <row r="74" spans="1:7" x14ac:dyDescent="0.25">
      <c r="A74" s="4"/>
      <c r="B74" s="4" t="s">
        <v>63</v>
      </c>
      <c r="C74" s="4"/>
      <c r="D74" s="4"/>
    </row>
    <row r="75" spans="1:7" x14ac:dyDescent="0.25">
      <c r="A75" s="4"/>
      <c r="B75" s="4" t="s">
        <v>64</v>
      </c>
      <c r="C75" s="4"/>
      <c r="D75" s="4"/>
    </row>
    <row r="76" spans="1:7" x14ac:dyDescent="0.25">
      <c r="A76" s="4"/>
      <c r="B76" s="4" t="s">
        <v>65</v>
      </c>
      <c r="C76" s="4"/>
      <c r="D76" s="4"/>
    </row>
    <row r="77" spans="1:7" x14ac:dyDescent="0.25">
      <c r="A77" s="4"/>
      <c r="B77" s="4" t="s">
        <v>61</v>
      </c>
      <c r="C77" s="4"/>
      <c r="D77" s="4"/>
    </row>
    <row r="78" spans="1:7" x14ac:dyDescent="0.25">
      <c r="A78" s="4"/>
      <c r="B78" s="4" t="s">
        <v>66</v>
      </c>
      <c r="C78" s="4"/>
      <c r="D78" s="4"/>
    </row>
    <row r="79" spans="1:7" x14ac:dyDescent="0.25">
      <c r="A79" s="4"/>
      <c r="B79" s="4" t="s">
        <v>65</v>
      </c>
      <c r="C79" s="4"/>
      <c r="D79" s="4"/>
    </row>
    <row r="80" spans="1:7" x14ac:dyDescent="0.25">
      <c r="A80" s="4"/>
      <c r="B80" s="4" t="s">
        <v>37</v>
      </c>
      <c r="C80" s="4"/>
      <c r="D80" s="4"/>
    </row>
    <row r="81" spans="1:4" x14ac:dyDescent="0.25">
      <c r="A81" s="4"/>
      <c r="B81" s="4" t="s">
        <v>20</v>
      </c>
      <c r="C81" s="4"/>
      <c r="D81" s="4"/>
    </row>
    <row r="82" spans="1:4" x14ac:dyDescent="0.25">
      <c r="A82" s="4"/>
      <c r="B82" s="4" t="s">
        <v>58</v>
      </c>
      <c r="C82" s="4"/>
      <c r="D82" s="4"/>
    </row>
    <row r="83" spans="1:4" x14ac:dyDescent="0.25">
      <c r="A83" s="4"/>
      <c r="B83" s="4" t="s">
        <v>67</v>
      </c>
      <c r="C83" s="4"/>
      <c r="D83" s="4"/>
    </row>
    <row r="84" spans="1:4" x14ac:dyDescent="0.25">
      <c r="A84" s="4"/>
      <c r="B84" s="4" t="s">
        <v>68</v>
      </c>
      <c r="C84" s="4"/>
      <c r="D84" s="4"/>
    </row>
    <row r="85" spans="1:4" x14ac:dyDescent="0.25">
      <c r="A85" s="4"/>
      <c r="B85" s="4" t="s">
        <v>61</v>
      </c>
      <c r="C85" s="4"/>
      <c r="D85" s="4"/>
    </row>
    <row r="86" spans="1:4" x14ac:dyDescent="0.25">
      <c r="A86" s="4"/>
      <c r="B86" s="4" t="s">
        <v>69</v>
      </c>
      <c r="C86" s="4"/>
      <c r="D86" s="4"/>
    </row>
    <row r="87" spans="1:4" x14ac:dyDescent="0.25">
      <c r="A87" s="4"/>
      <c r="B87" s="4" t="s">
        <v>68</v>
      </c>
      <c r="C87" s="4"/>
      <c r="D87" s="4"/>
    </row>
    <row r="88" spans="1:4" x14ac:dyDescent="0.25">
      <c r="A88" s="4"/>
      <c r="B88" s="4" t="s">
        <v>32</v>
      </c>
      <c r="C88" s="4"/>
      <c r="D88" s="4"/>
    </row>
    <row r="89" spans="1:4" x14ac:dyDescent="0.25">
      <c r="A89" s="4"/>
      <c r="B89" s="4" t="s">
        <v>63</v>
      </c>
      <c r="C89" s="4"/>
      <c r="D89" s="4"/>
    </row>
    <row r="90" spans="1:4" x14ac:dyDescent="0.25">
      <c r="A90" s="4"/>
      <c r="B90" s="4" t="s">
        <v>70</v>
      </c>
      <c r="C90" s="4"/>
      <c r="D90" s="4"/>
    </row>
    <row r="91" spans="1:4" x14ac:dyDescent="0.25">
      <c r="A91" s="4"/>
      <c r="B91" s="4" t="s">
        <v>71</v>
      </c>
      <c r="C91" s="4"/>
      <c r="D91" s="4"/>
    </row>
    <row r="92" spans="1:4" x14ac:dyDescent="0.25">
      <c r="A92" s="4"/>
      <c r="B92" s="4" t="s">
        <v>61</v>
      </c>
      <c r="C92" s="4"/>
      <c r="D92" s="4"/>
    </row>
    <row r="93" spans="1:4" x14ac:dyDescent="0.25">
      <c r="A93" s="4"/>
      <c r="B93" s="4" t="s">
        <v>72</v>
      </c>
      <c r="C93" s="4"/>
      <c r="D93" s="4"/>
    </row>
    <row r="94" spans="1:4" x14ac:dyDescent="0.25">
      <c r="A94" s="4"/>
      <c r="B94" s="4" t="s">
        <v>71</v>
      </c>
      <c r="C94" s="4"/>
      <c r="D94" s="4"/>
    </row>
    <row r="95" spans="1:4" x14ac:dyDescent="0.25">
      <c r="A95" s="4"/>
      <c r="B95" s="4" t="s">
        <v>44</v>
      </c>
      <c r="C95" s="4"/>
      <c r="D95" s="4"/>
    </row>
    <row r="96" spans="1:4" x14ac:dyDescent="0.25">
      <c r="A96" s="4"/>
      <c r="B96" s="4" t="s">
        <v>20</v>
      </c>
      <c r="C96" s="4"/>
      <c r="D96" s="4"/>
    </row>
    <row r="97" spans="1:4" x14ac:dyDescent="0.25">
      <c r="A97" s="4"/>
      <c r="B97" s="4" t="s">
        <v>58</v>
      </c>
      <c r="C97" s="4"/>
      <c r="D97" s="4"/>
    </row>
    <row r="98" spans="1:4" x14ac:dyDescent="0.25">
      <c r="A98" s="4"/>
      <c r="B98" s="4" t="s">
        <v>73</v>
      </c>
      <c r="C98" s="4"/>
      <c r="D98" s="4"/>
    </row>
    <row r="99" spans="1:4" x14ac:dyDescent="0.25">
      <c r="A99" s="4"/>
      <c r="B99" s="4" t="s">
        <v>74</v>
      </c>
      <c r="C99" s="4"/>
      <c r="D99" s="4"/>
    </row>
    <row r="100" spans="1:4" x14ac:dyDescent="0.25">
      <c r="A100" s="4"/>
      <c r="B100" s="4" t="s">
        <v>61</v>
      </c>
      <c r="C100" s="4"/>
      <c r="D100" s="4"/>
    </row>
    <row r="101" spans="1:4" x14ac:dyDescent="0.25">
      <c r="A101" s="4"/>
      <c r="B101" s="4" t="s">
        <v>75</v>
      </c>
      <c r="C101" s="4"/>
      <c r="D101" s="4"/>
    </row>
    <row r="102" spans="1:4" x14ac:dyDescent="0.25">
      <c r="A102" s="4"/>
      <c r="B102" s="4" t="s">
        <v>74</v>
      </c>
      <c r="C102" s="4"/>
      <c r="D102" s="4"/>
    </row>
    <row r="103" spans="1:4" x14ac:dyDescent="0.25">
      <c r="A103" s="4"/>
      <c r="B103" s="4" t="s">
        <v>32</v>
      </c>
      <c r="C103" s="4"/>
      <c r="D103" s="4"/>
    </row>
    <row r="104" spans="1:4" x14ac:dyDescent="0.25">
      <c r="A104" s="4"/>
      <c r="B104" s="4" t="s">
        <v>63</v>
      </c>
      <c r="C104" s="4"/>
      <c r="D104" s="4"/>
    </row>
    <row r="105" spans="1:4" x14ac:dyDescent="0.25">
      <c r="A105" s="4"/>
      <c r="B105" s="4" t="s">
        <v>76</v>
      </c>
      <c r="C105" s="4"/>
      <c r="D105" s="4"/>
    </row>
    <row r="106" spans="1:4" x14ac:dyDescent="0.25">
      <c r="A106" s="4"/>
      <c r="B106" s="4" t="s">
        <v>77</v>
      </c>
      <c r="C106" s="4"/>
      <c r="D106" s="4"/>
    </row>
    <row r="107" spans="1:4" x14ac:dyDescent="0.25">
      <c r="A107" s="4"/>
      <c r="B107" s="4" t="s">
        <v>61</v>
      </c>
      <c r="C107" s="4"/>
      <c r="D107" s="4"/>
    </row>
    <row r="108" spans="1:4" x14ac:dyDescent="0.25">
      <c r="A108" s="4"/>
      <c r="B108" s="4" t="s">
        <v>78</v>
      </c>
      <c r="C108" s="4"/>
      <c r="D108" s="4"/>
    </row>
    <row r="109" spans="1:4" x14ac:dyDescent="0.25">
      <c r="A109" s="4"/>
      <c r="B109" s="4" t="s">
        <v>77</v>
      </c>
      <c r="C109" s="4"/>
      <c r="D109" s="4"/>
    </row>
    <row r="110" spans="1:4" x14ac:dyDescent="0.25">
      <c r="A110" s="4"/>
      <c r="B110" s="4" t="s">
        <v>79</v>
      </c>
      <c r="C110" s="4"/>
      <c r="D110" s="4"/>
    </row>
    <row r="111" spans="1:4" x14ac:dyDescent="0.25">
      <c r="A111" s="4"/>
      <c r="B111" s="4" t="s">
        <v>18</v>
      </c>
      <c r="C111" s="4"/>
      <c r="D111" s="4"/>
    </row>
    <row r="112" spans="1:4" x14ac:dyDescent="0.25">
      <c r="A112" s="4"/>
      <c r="B112" s="4" t="s">
        <v>19</v>
      </c>
      <c r="C112" s="4"/>
      <c r="D112" s="4"/>
    </row>
    <row r="113" spans="1:4" x14ac:dyDescent="0.25">
      <c r="A113" s="4"/>
      <c r="B113" s="4" t="s">
        <v>20</v>
      </c>
      <c r="C113" s="4"/>
      <c r="D113" s="4"/>
    </row>
    <row r="114" spans="1:4" x14ac:dyDescent="0.25">
      <c r="A114" s="4"/>
      <c r="B114" s="4" t="s">
        <v>80</v>
      </c>
      <c r="C114" s="4"/>
      <c r="D114" s="4"/>
    </row>
    <row r="115" spans="1:4" x14ac:dyDescent="0.25">
      <c r="A115" s="4"/>
      <c r="B115" s="4" t="s">
        <v>81</v>
      </c>
      <c r="C115" s="4"/>
      <c r="D115" s="4"/>
    </row>
    <row r="116" spans="1:4" x14ac:dyDescent="0.25">
      <c r="A116" s="4"/>
      <c r="B116" s="4" t="s">
        <v>82</v>
      </c>
      <c r="C116" s="4"/>
      <c r="D116" s="4"/>
    </row>
    <row r="117" spans="1:4" x14ac:dyDescent="0.25">
      <c r="A117" s="4"/>
      <c r="B117" s="4" t="s">
        <v>83</v>
      </c>
      <c r="C117" s="4"/>
      <c r="D117" s="4"/>
    </row>
    <row r="118" spans="1:4" x14ac:dyDescent="0.25">
      <c r="A118" s="4"/>
      <c r="B118" s="4" t="s">
        <v>84</v>
      </c>
      <c r="C118" s="4"/>
      <c r="D118" s="4"/>
    </row>
    <row r="119" spans="1:4" x14ac:dyDescent="0.25">
      <c r="A119" s="4"/>
      <c r="B119" s="4" t="s">
        <v>82</v>
      </c>
      <c r="C119" s="4"/>
      <c r="D119" s="4"/>
    </row>
    <row r="120" spans="1:4" x14ac:dyDescent="0.25">
      <c r="A120" s="4"/>
      <c r="B120" s="4" t="s">
        <v>32</v>
      </c>
      <c r="C120" s="4"/>
      <c r="D120" s="4"/>
    </row>
    <row r="121" spans="1:4" x14ac:dyDescent="0.25">
      <c r="A121" s="4"/>
      <c r="B121" s="4" t="s">
        <v>85</v>
      </c>
      <c r="C121" s="4"/>
      <c r="D121" s="4"/>
    </row>
    <row r="122" spans="1:4" x14ac:dyDescent="0.25">
      <c r="A122" s="4"/>
      <c r="B122" s="4" t="s">
        <v>86</v>
      </c>
      <c r="C122" s="4"/>
      <c r="D122" s="4"/>
    </row>
    <row r="123" spans="1:4" x14ac:dyDescent="0.25">
      <c r="A123" s="4"/>
      <c r="B123" s="4" t="s">
        <v>87</v>
      </c>
      <c r="C123" s="4"/>
      <c r="D123" s="4"/>
    </row>
    <row r="124" spans="1:4" x14ac:dyDescent="0.25">
      <c r="A124" s="4"/>
      <c r="B124" s="4" t="s">
        <v>83</v>
      </c>
      <c r="C124" s="4"/>
      <c r="D124" s="4"/>
    </row>
    <row r="125" spans="1:4" x14ac:dyDescent="0.25">
      <c r="A125" s="4"/>
      <c r="B125" s="4" t="s">
        <v>88</v>
      </c>
      <c r="C125" s="4"/>
      <c r="D125" s="4"/>
    </row>
    <row r="126" spans="1:4" x14ac:dyDescent="0.25">
      <c r="A126" s="4"/>
      <c r="B126" s="4" t="s">
        <v>87</v>
      </c>
      <c r="C126" s="4"/>
      <c r="D126" s="4"/>
    </row>
    <row r="127" spans="1:4" x14ac:dyDescent="0.25">
      <c r="A127" s="4"/>
      <c r="B127" s="4" t="s">
        <v>37</v>
      </c>
      <c r="C127" s="4"/>
      <c r="D127" s="4"/>
    </row>
    <row r="128" spans="1:4" x14ac:dyDescent="0.25">
      <c r="A128" s="4"/>
      <c r="B128" s="4" t="s">
        <v>20</v>
      </c>
      <c r="C128" s="4"/>
      <c r="D128" s="4"/>
    </row>
    <row r="129" spans="1:4" x14ac:dyDescent="0.25">
      <c r="A129" s="4"/>
      <c r="B129" s="4" t="s">
        <v>80</v>
      </c>
      <c r="C129" s="4"/>
      <c r="D129" s="4"/>
    </row>
    <row r="130" spans="1:4" x14ac:dyDescent="0.25">
      <c r="A130" s="4"/>
      <c r="B130" s="4" t="s">
        <v>89</v>
      </c>
      <c r="C130" s="4"/>
      <c r="D130" s="4"/>
    </row>
    <row r="131" spans="1:4" x14ac:dyDescent="0.25">
      <c r="A131" s="4"/>
      <c r="B131" s="4" t="s">
        <v>90</v>
      </c>
      <c r="C131" s="4"/>
      <c r="D131" s="4"/>
    </row>
    <row r="132" spans="1:4" x14ac:dyDescent="0.25">
      <c r="A132" s="4"/>
      <c r="B132" s="4" t="s">
        <v>83</v>
      </c>
      <c r="C132" s="4"/>
      <c r="D132" s="4"/>
    </row>
    <row r="133" spans="1:4" x14ac:dyDescent="0.25">
      <c r="A133" s="4"/>
      <c r="B133" s="4" t="s">
        <v>91</v>
      </c>
      <c r="C133" s="4"/>
      <c r="D133" s="4"/>
    </row>
    <row r="134" spans="1:4" x14ac:dyDescent="0.25">
      <c r="A134" s="4"/>
      <c r="B134" s="4" t="s">
        <v>90</v>
      </c>
      <c r="C134" s="4"/>
      <c r="D134" s="4"/>
    </row>
    <row r="135" spans="1:4" x14ac:dyDescent="0.25">
      <c r="A135" s="4"/>
      <c r="B135" s="4" t="s">
        <v>32</v>
      </c>
      <c r="C135" s="4"/>
      <c r="D135" s="4"/>
    </row>
    <row r="136" spans="1:4" x14ac:dyDescent="0.25">
      <c r="A136" s="4"/>
      <c r="B136" s="4" t="s">
        <v>85</v>
      </c>
      <c r="C136" s="4"/>
      <c r="D136" s="4"/>
    </row>
    <row r="137" spans="1:4" x14ac:dyDescent="0.25">
      <c r="A137" s="4"/>
      <c r="B137" s="4" t="s">
        <v>92</v>
      </c>
      <c r="C137" s="4"/>
      <c r="D137" s="4"/>
    </row>
    <row r="138" spans="1:4" x14ac:dyDescent="0.25">
      <c r="A138" s="4"/>
      <c r="B138" s="4" t="s">
        <v>93</v>
      </c>
      <c r="C138" s="4"/>
      <c r="D138" s="4"/>
    </row>
    <row r="139" spans="1:4" x14ac:dyDescent="0.25">
      <c r="A139" s="4"/>
      <c r="B139" s="4" t="s">
        <v>83</v>
      </c>
      <c r="C139" s="4"/>
      <c r="D139" s="4"/>
    </row>
    <row r="140" spans="1:4" x14ac:dyDescent="0.25">
      <c r="A140" s="4"/>
      <c r="B140" s="4" t="s">
        <v>94</v>
      </c>
      <c r="C140" s="4"/>
      <c r="D140" s="4"/>
    </row>
    <row r="141" spans="1:4" x14ac:dyDescent="0.25">
      <c r="A141" s="4"/>
      <c r="B141" s="4" t="s">
        <v>93</v>
      </c>
      <c r="C141" s="4"/>
      <c r="D141" s="4"/>
    </row>
    <row r="142" spans="1:4" x14ac:dyDescent="0.25">
      <c r="A142" s="4"/>
      <c r="B142" s="4" t="s">
        <v>20</v>
      </c>
      <c r="C142" s="4"/>
      <c r="D142" s="4"/>
    </row>
    <row r="143" spans="1:4" x14ac:dyDescent="0.25">
      <c r="A143" s="4"/>
      <c r="B143" s="4" t="s">
        <v>80</v>
      </c>
      <c r="C143" s="4"/>
      <c r="D143" s="4"/>
    </row>
    <row r="144" spans="1:4" x14ac:dyDescent="0.25">
      <c r="A144" s="4"/>
      <c r="B144" s="4" t="s">
        <v>95</v>
      </c>
      <c r="C144" s="4"/>
      <c r="D144" s="4"/>
    </row>
    <row r="145" spans="1:4" x14ac:dyDescent="0.25">
      <c r="A145" s="4"/>
      <c r="B145" s="4" t="s">
        <v>96</v>
      </c>
      <c r="C145" s="4"/>
      <c r="D145" s="4"/>
    </row>
    <row r="146" spans="1:4" x14ac:dyDescent="0.25">
      <c r="A146" s="4"/>
      <c r="B146" s="4" t="s">
        <v>83</v>
      </c>
      <c r="C146" s="4"/>
      <c r="D146" s="4"/>
    </row>
    <row r="147" spans="1:4" x14ac:dyDescent="0.25">
      <c r="A147" s="4"/>
      <c r="B147" s="4" t="s">
        <v>97</v>
      </c>
      <c r="C147" s="4"/>
      <c r="D147" s="4"/>
    </row>
    <row r="148" spans="1:4" x14ac:dyDescent="0.25">
      <c r="A148" s="4"/>
      <c r="B148" s="4" t="s">
        <v>96</v>
      </c>
      <c r="C148" s="4"/>
      <c r="D148" s="4"/>
    </row>
    <row r="149" spans="1:4" x14ac:dyDescent="0.25">
      <c r="A149" s="4"/>
      <c r="B149" s="4" t="s">
        <v>32</v>
      </c>
      <c r="C149" s="4"/>
      <c r="D149" s="4"/>
    </row>
    <row r="150" spans="1:4" x14ac:dyDescent="0.25">
      <c r="A150" s="4"/>
      <c r="B150" s="4" t="s">
        <v>85</v>
      </c>
      <c r="C150" s="4"/>
      <c r="D150" s="4"/>
    </row>
    <row r="151" spans="1:4" x14ac:dyDescent="0.25">
      <c r="A151" s="4"/>
      <c r="B151" s="4" t="s">
        <v>98</v>
      </c>
      <c r="C151" s="4"/>
      <c r="D151" s="4"/>
    </row>
    <row r="152" spans="1:4" x14ac:dyDescent="0.25">
      <c r="A152" s="4"/>
      <c r="B152" s="4" t="s">
        <v>99</v>
      </c>
      <c r="C152" s="4"/>
      <c r="D152" s="4"/>
    </row>
    <row r="153" spans="1:4" x14ac:dyDescent="0.25">
      <c r="A153" s="4"/>
      <c r="B153" s="4" t="s">
        <v>83</v>
      </c>
      <c r="C153" s="4"/>
      <c r="D153" s="4"/>
    </row>
    <row r="154" spans="1:4" x14ac:dyDescent="0.25">
      <c r="A154" s="4"/>
      <c r="B154" s="4" t="s">
        <v>100</v>
      </c>
      <c r="C154" s="4"/>
      <c r="D154" s="4"/>
    </row>
    <row r="155" spans="1:4" x14ac:dyDescent="0.25">
      <c r="A155" s="4"/>
      <c r="B155" s="4" t="s">
        <v>99</v>
      </c>
      <c r="C155" s="4"/>
      <c r="D155" s="4"/>
    </row>
    <row r="156" spans="1:4" x14ac:dyDescent="0.25">
      <c r="A156" s="4"/>
      <c r="B156" s="4" t="s">
        <v>44</v>
      </c>
      <c r="C156" s="4"/>
      <c r="D156" s="4"/>
    </row>
    <row r="157" spans="1:4" x14ac:dyDescent="0.25">
      <c r="A157" s="4"/>
      <c r="B157" s="4" t="s">
        <v>20</v>
      </c>
      <c r="C157" s="4"/>
      <c r="D157" s="4"/>
    </row>
    <row r="158" spans="1:4" x14ac:dyDescent="0.25">
      <c r="A158" s="4"/>
      <c r="B158" s="4" t="s">
        <v>80</v>
      </c>
      <c r="C158" s="4"/>
      <c r="D158" s="4"/>
    </row>
    <row r="159" spans="1:4" x14ac:dyDescent="0.25">
      <c r="A159" s="4"/>
      <c r="B159" s="4" t="s">
        <v>101</v>
      </c>
      <c r="C159" s="4"/>
      <c r="D159" s="4"/>
    </row>
    <row r="160" spans="1:4" x14ac:dyDescent="0.25">
      <c r="A160" s="4"/>
      <c r="B160" s="4" t="s">
        <v>102</v>
      </c>
      <c r="C160" s="4"/>
      <c r="D160" s="4"/>
    </row>
    <row r="161" spans="1:4" x14ac:dyDescent="0.25">
      <c r="A161" s="4"/>
      <c r="B161" s="4" t="s">
        <v>83</v>
      </c>
      <c r="C161" s="4"/>
      <c r="D161" s="4"/>
    </row>
    <row r="162" spans="1:4" x14ac:dyDescent="0.25">
      <c r="A162" s="4"/>
      <c r="B162" s="4" t="s">
        <v>103</v>
      </c>
      <c r="C162" s="4"/>
      <c r="D162" s="4"/>
    </row>
    <row r="163" spans="1:4" x14ac:dyDescent="0.25">
      <c r="A163" s="4"/>
      <c r="B163" s="4" t="s">
        <v>102</v>
      </c>
      <c r="C163" s="4"/>
      <c r="D163" s="4"/>
    </row>
    <row r="164" spans="1:4" x14ac:dyDescent="0.25">
      <c r="A164" s="4"/>
      <c r="B164" s="4" t="s">
        <v>32</v>
      </c>
      <c r="C164" s="4"/>
      <c r="D164" s="4"/>
    </row>
    <row r="165" spans="1:4" x14ac:dyDescent="0.25">
      <c r="A165" s="4"/>
      <c r="B165" s="4" t="s">
        <v>85</v>
      </c>
      <c r="C165" s="4"/>
      <c r="D165" s="4"/>
    </row>
    <row r="166" spans="1:4" x14ac:dyDescent="0.25">
      <c r="A166" s="4"/>
      <c r="B166" s="4" t="s">
        <v>104</v>
      </c>
      <c r="C166" s="4"/>
      <c r="D166" s="4"/>
    </row>
    <row r="167" spans="1:4" x14ac:dyDescent="0.25">
      <c r="A167" s="4"/>
      <c r="B167" s="4" t="s">
        <v>105</v>
      </c>
      <c r="C167" s="4"/>
      <c r="D167" s="4"/>
    </row>
    <row r="168" spans="1:4" x14ac:dyDescent="0.25">
      <c r="A168" s="4"/>
      <c r="B168" s="4" t="s">
        <v>83</v>
      </c>
      <c r="C168" s="4"/>
      <c r="D168" s="4"/>
    </row>
    <row r="169" spans="1:4" x14ac:dyDescent="0.25">
      <c r="A169" s="4"/>
      <c r="B169" s="4" t="s">
        <v>106</v>
      </c>
      <c r="C169" s="4"/>
      <c r="D169" s="4"/>
    </row>
    <row r="170" spans="1:4" x14ac:dyDescent="0.25">
      <c r="A170" s="4"/>
      <c r="B170" s="4" t="s">
        <v>105</v>
      </c>
      <c r="C170" s="4"/>
      <c r="D170" s="4"/>
    </row>
    <row r="171" spans="1:4" x14ac:dyDescent="0.25">
      <c r="A171" s="4"/>
      <c r="B171" s="4"/>
      <c r="C171" s="4"/>
      <c r="D171" s="4"/>
    </row>
    <row r="172" spans="1:4" x14ac:dyDescent="0.25">
      <c r="A172" s="4"/>
      <c r="B172" s="4"/>
      <c r="C172" s="4"/>
      <c r="D172" s="4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P27"/>
  <sheetViews>
    <sheetView workbookViewId="0">
      <selection activeCell="K7" sqref="K7"/>
    </sheetView>
  </sheetViews>
  <sheetFormatPr defaultRowHeight="12.5" x14ac:dyDescent="0.25"/>
  <cols>
    <col min="2" max="2" width="10.1796875" customWidth="1"/>
    <col min="7" max="7" width="6.26953125" customWidth="1"/>
    <col min="9" max="9" width="11.54296875" customWidth="1"/>
    <col min="10" max="11" width="12.7265625" customWidth="1"/>
    <col min="12" max="12" width="7.453125" bestFit="1" customWidth="1"/>
    <col min="13" max="13" width="15.54296875" style="2" bestFit="1" customWidth="1"/>
  </cols>
  <sheetData>
    <row r="2" spans="2:16" ht="13" thickBot="1" x14ac:dyDescent="0.3"/>
    <row r="3" spans="2:16" ht="13.5" thickTop="1" thickBot="1" x14ac:dyDescent="0.3">
      <c r="H3" s="24"/>
      <c r="I3" s="25"/>
      <c r="J3" s="25"/>
      <c r="K3" s="25"/>
      <c r="L3" s="25"/>
      <c r="M3" s="26"/>
      <c r="N3" s="25"/>
      <c r="O3" s="25"/>
      <c r="P3" s="27"/>
    </row>
    <row r="4" spans="2:16" ht="14.5" thickTop="1" x14ac:dyDescent="0.3">
      <c r="H4" s="28"/>
      <c r="I4" s="8"/>
      <c r="J4" s="35" t="s">
        <v>125</v>
      </c>
      <c r="K4" s="46"/>
      <c r="L4" s="14"/>
      <c r="M4" s="23"/>
      <c r="N4" s="14"/>
      <c r="O4" s="14"/>
      <c r="P4" s="29"/>
    </row>
    <row r="5" spans="2:16" ht="14" x14ac:dyDescent="0.3">
      <c r="H5" s="28"/>
      <c r="I5" s="9"/>
      <c r="J5" s="36" t="s">
        <v>2</v>
      </c>
      <c r="K5" s="47">
        <v>12</v>
      </c>
      <c r="L5" s="14"/>
      <c r="M5" s="23"/>
      <c r="N5" s="14"/>
      <c r="O5" s="14"/>
      <c r="P5" s="29"/>
    </row>
    <row r="6" spans="2:16" ht="14.5" thickBot="1" x14ac:dyDescent="0.35">
      <c r="B6" s="49" t="s">
        <v>135</v>
      </c>
      <c r="H6" s="28"/>
      <c r="I6" s="9"/>
      <c r="J6" s="36" t="s">
        <v>4</v>
      </c>
      <c r="K6" s="47">
        <v>125</v>
      </c>
      <c r="L6" s="14"/>
      <c r="M6" s="23"/>
      <c r="N6" s="14"/>
      <c r="O6" s="14"/>
      <c r="P6" s="29"/>
    </row>
    <row r="7" spans="2:16" ht="15" thickTop="1" thickBot="1" x14ac:dyDescent="0.35">
      <c r="B7" s="5" t="s">
        <v>132</v>
      </c>
      <c r="H7" s="28"/>
      <c r="I7" s="9"/>
      <c r="J7" s="36" t="s">
        <v>0</v>
      </c>
      <c r="K7" s="47" t="s">
        <v>8</v>
      </c>
      <c r="L7" s="14"/>
      <c r="M7" s="10"/>
      <c r="N7" s="11"/>
      <c r="O7" s="12" t="s">
        <v>131</v>
      </c>
      <c r="P7" s="29"/>
    </row>
    <row r="8" spans="2:16" ht="15" thickTop="1" thickBot="1" x14ac:dyDescent="0.35">
      <c r="B8" t="s">
        <v>121</v>
      </c>
      <c r="H8" s="28"/>
      <c r="I8" s="9"/>
      <c r="J8" s="36" t="s">
        <v>1</v>
      </c>
      <c r="K8" s="48" t="s">
        <v>9</v>
      </c>
      <c r="L8" s="14"/>
      <c r="M8" s="13" t="s">
        <v>129</v>
      </c>
      <c r="N8" s="37">
        <v>3.2</v>
      </c>
      <c r="O8" s="38">
        <f>N8/J11</f>
        <v>0.7723499210966116</v>
      </c>
      <c r="P8" s="29"/>
    </row>
    <row r="9" spans="2:16" ht="15" thickTop="1" thickBot="1" x14ac:dyDescent="0.35">
      <c r="B9" t="s">
        <v>122</v>
      </c>
      <c r="H9" s="28"/>
      <c r="I9" s="9"/>
      <c r="J9" s="14"/>
      <c r="K9" s="15"/>
      <c r="L9" s="14"/>
      <c r="M9" s="16" t="s">
        <v>130</v>
      </c>
      <c r="N9" s="39">
        <v>1.5</v>
      </c>
      <c r="O9" s="17">
        <f>N9/J12</f>
        <v>0.87735203457936828</v>
      </c>
      <c r="P9" s="29"/>
    </row>
    <row r="10" spans="2:16" ht="15" thickTop="1" thickBot="1" x14ac:dyDescent="0.35">
      <c r="B10" t="s">
        <v>123</v>
      </c>
      <c r="H10" s="28"/>
      <c r="I10" s="18"/>
      <c r="J10" s="19">
        <v>1</v>
      </c>
      <c r="K10" s="20">
        <v>0.8</v>
      </c>
      <c r="L10" s="14"/>
      <c r="M10" s="23"/>
      <c r="N10" s="14"/>
      <c r="O10" s="14"/>
      <c r="P10" s="29"/>
    </row>
    <row r="11" spans="2:16" ht="14.5" thickTop="1" x14ac:dyDescent="0.3">
      <c r="B11" t="s">
        <v>124</v>
      </c>
      <c r="H11" s="28"/>
      <c r="I11" s="21" t="s">
        <v>128</v>
      </c>
      <c r="J11" s="40">
        <f>IF(J16=TRUE,I16,0)+IF(J17=TRUE,I17,0)+IF(J18=TRUE,I18,0)+IF(J19=TRUE,I19,0)+IF(J20=TRUE,I20,0)+IF(J21=TRUE,I21,0)</f>
        <v>4.1431997499999991</v>
      </c>
      <c r="K11" s="41">
        <f>J11*0.8</f>
        <v>3.3145597999999996</v>
      </c>
      <c r="L11" s="14"/>
      <c r="M11" s="45" t="s">
        <v>133</v>
      </c>
      <c r="N11" s="14"/>
      <c r="O11" s="14"/>
      <c r="P11" s="29"/>
    </row>
    <row r="12" spans="2:16" ht="14.5" thickBot="1" x14ac:dyDescent="0.35">
      <c r="H12" s="28"/>
      <c r="I12" s="22" t="s">
        <v>37</v>
      </c>
      <c r="J12" s="42">
        <f>IF(J22=TRUE,I22,0)+IF(J23=TRUE,I23,0)+IF(J24=TRUE,I24,0)+IF(J25=TRUE,I25,0)+IF(J26=TRUE,I26,0)+IF(J27=TRUE,I27,0)</f>
        <v>1.7096899999999999</v>
      </c>
      <c r="K12" s="43">
        <f>J12*0.8</f>
        <v>1.3677520000000001</v>
      </c>
      <c r="L12" s="14"/>
      <c r="M12" s="44" t="s">
        <v>134</v>
      </c>
      <c r="N12" s="14"/>
      <c r="O12" s="14"/>
      <c r="P12" s="29"/>
    </row>
    <row r="13" spans="2:16" ht="13.5" thickTop="1" thickBot="1" x14ac:dyDescent="0.3">
      <c r="H13" s="30"/>
      <c r="I13" s="31"/>
      <c r="J13" s="32"/>
      <c r="K13" s="31"/>
      <c r="L13" s="31"/>
      <c r="M13" s="33"/>
      <c r="N13" s="31"/>
      <c r="O13" s="31"/>
      <c r="P13" s="34"/>
    </row>
    <row r="14" spans="2:16" ht="13" thickTop="1" x14ac:dyDescent="0.25"/>
    <row r="15" spans="2:16" ht="13" x14ac:dyDescent="0.3">
      <c r="B15" s="1" t="s">
        <v>107</v>
      </c>
      <c r="C15" s="1" t="s">
        <v>12</v>
      </c>
      <c r="D15" s="1" t="s">
        <v>0</v>
      </c>
      <c r="E15" s="1" t="s">
        <v>1</v>
      </c>
      <c r="F15" s="1" t="s">
        <v>2</v>
      </c>
      <c r="G15" s="1" t="s">
        <v>3</v>
      </c>
      <c r="H15" s="1" t="s">
        <v>4</v>
      </c>
      <c r="I15" s="1" t="s">
        <v>126</v>
      </c>
      <c r="J15" s="1" t="s">
        <v>127</v>
      </c>
    </row>
    <row r="16" spans="2:16" x14ac:dyDescent="0.25">
      <c r="B16" s="2" t="s">
        <v>108</v>
      </c>
      <c r="C16" s="2" t="s">
        <v>13</v>
      </c>
      <c r="D16" s="2" t="s">
        <v>7</v>
      </c>
      <c r="E16" s="2" t="s">
        <v>9</v>
      </c>
      <c r="F16" s="2">
        <f t="shared" ref="F16:F27" si="0">Age_calc</f>
        <v>12</v>
      </c>
      <c r="G16" s="2"/>
      <c r="H16" s="2">
        <v>125</v>
      </c>
      <c r="I16" s="7">
        <f>(-0.5962-0.12357*Age_calc+0.013135*Age_calc^2+0.00024962*height_cm_calc^2)</f>
        <v>3.7127124999999999</v>
      </c>
      <c r="J16" t="b">
        <f>AND($K$7="male", $K$8="cauc")</f>
        <v>0</v>
      </c>
      <c r="L16" t="s">
        <v>9</v>
      </c>
      <c r="M16" t="s">
        <v>7</v>
      </c>
    </row>
    <row r="17" spans="2:13" x14ac:dyDescent="0.25">
      <c r="B17" s="2" t="s">
        <v>108</v>
      </c>
      <c r="C17" s="2" t="s">
        <v>13</v>
      </c>
      <c r="D17" s="2" t="s">
        <v>7</v>
      </c>
      <c r="E17" s="6" t="s">
        <v>10</v>
      </c>
      <c r="F17" s="2">
        <f t="shared" si="0"/>
        <v>12</v>
      </c>
      <c r="G17" s="2"/>
      <c r="H17" s="2">
        <f t="shared" ref="H17:H27" si="1">height_cm_calc</f>
        <v>125</v>
      </c>
      <c r="I17" s="7">
        <f>(-0.2684-0.28016*Age_calc+0.018202*Age_calc^2+0.00027333*height_cm_calc^2)</f>
        <v>3.2615492499999998</v>
      </c>
      <c r="J17" t="b">
        <f>AND($K$7="male", $K$8="af amer")</f>
        <v>0</v>
      </c>
      <c r="L17" t="s">
        <v>10</v>
      </c>
      <c r="M17" t="s">
        <v>8</v>
      </c>
    </row>
    <row r="18" spans="2:13" x14ac:dyDescent="0.25">
      <c r="B18" s="2" t="s">
        <v>108</v>
      </c>
      <c r="C18" s="2" t="s">
        <v>13</v>
      </c>
      <c r="D18" s="2" t="s">
        <v>7</v>
      </c>
      <c r="E18" s="2" t="s">
        <v>11</v>
      </c>
      <c r="F18" s="2">
        <f t="shared" si="0"/>
        <v>12</v>
      </c>
      <c r="G18" s="2"/>
      <c r="H18" s="2">
        <f t="shared" si="1"/>
        <v>125</v>
      </c>
      <c r="I18" s="7">
        <f>(-0.9537-0.19602*Age_calc+0.014497*Age_calc^2+0.00030243*height_cm_calc^2)</f>
        <v>3.5070967500000001</v>
      </c>
      <c r="J18" t="b">
        <f>AND($K$7="male", $K$8="hisp")</f>
        <v>0</v>
      </c>
      <c r="L18" t="s">
        <v>11</v>
      </c>
      <c r="M18"/>
    </row>
    <row r="19" spans="2:13" x14ac:dyDescent="0.25">
      <c r="B19" s="2" t="s">
        <v>108</v>
      </c>
      <c r="C19" s="2" t="s">
        <v>13</v>
      </c>
      <c r="D19" s="2" t="s">
        <v>8</v>
      </c>
      <c r="E19" s="2" t="s">
        <v>9</v>
      </c>
      <c r="F19" s="2">
        <f t="shared" si="0"/>
        <v>12</v>
      </c>
      <c r="G19" s="2"/>
      <c r="H19" s="2">
        <f t="shared" si="1"/>
        <v>125</v>
      </c>
      <c r="I19" s="7">
        <f>(-3.6181+0.60644*Age_calc-0.016846*Age_calc^2+0.00018623*height_cm_calc^2)</f>
        <v>4.1431997499999991</v>
      </c>
      <c r="J19" t="b">
        <f>AND($K$7="female", $K$8="cauc")</f>
        <v>1</v>
      </c>
    </row>
    <row r="20" spans="2:13" x14ac:dyDescent="0.25">
      <c r="B20" s="2" t="s">
        <v>108</v>
      </c>
      <c r="C20" s="2" t="s">
        <v>13</v>
      </c>
      <c r="D20" s="2" t="s">
        <v>8</v>
      </c>
      <c r="E20" s="2" t="s">
        <v>10</v>
      </c>
      <c r="F20" s="2">
        <f t="shared" si="0"/>
        <v>12</v>
      </c>
      <c r="G20" s="2"/>
      <c r="H20" s="2">
        <f t="shared" si="1"/>
        <v>125</v>
      </c>
      <c r="I20" s="7">
        <f>(-1.2398+0.16375*Age_calc+0.00019746*height_cm_calc^2)</f>
        <v>3.8105125000000002</v>
      </c>
      <c r="J20" t="b">
        <f>AND($K$7="female", $K$8="af amer")</f>
        <v>0</v>
      </c>
    </row>
    <row r="21" spans="2:13" x14ac:dyDescent="0.25">
      <c r="B21" s="2" t="s">
        <v>108</v>
      </c>
      <c r="C21" s="2" t="s">
        <v>13</v>
      </c>
      <c r="D21" s="2" t="s">
        <v>8</v>
      </c>
      <c r="E21" s="2" t="s">
        <v>11</v>
      </c>
      <c r="F21" s="2">
        <f t="shared" si="0"/>
        <v>12</v>
      </c>
      <c r="G21" s="2"/>
      <c r="H21" s="2">
        <f t="shared" si="1"/>
        <v>125</v>
      </c>
      <c r="I21" s="7">
        <f>(-3.2549+0.47495*Age_calc-0.013193*Age_calc^2+0.00022203*height_cm_calc^2)</f>
        <v>4.0139267499999995</v>
      </c>
      <c r="J21" t="b">
        <f>AND($K$7="female", $K$8="hisp")</f>
        <v>0</v>
      </c>
    </row>
    <row r="22" spans="2:13" x14ac:dyDescent="0.25">
      <c r="B22" s="2" t="s">
        <v>37</v>
      </c>
      <c r="C22" s="2" t="s">
        <v>13</v>
      </c>
      <c r="D22" s="2" t="s">
        <v>7</v>
      </c>
      <c r="E22" s="2" t="s">
        <v>9</v>
      </c>
      <c r="F22" s="2">
        <f t="shared" si="0"/>
        <v>12</v>
      </c>
      <c r="G22" s="2"/>
      <c r="H22" s="2">
        <f t="shared" si="1"/>
        <v>125</v>
      </c>
      <c r="I22" s="7">
        <f>(-0.7453-0.04106*Age_calc+0.004477*Age_calc^2+0.00014098*height_cm_calc^2)</f>
        <v>1.6094805000000001</v>
      </c>
      <c r="J22" t="b">
        <f>AND($K$7="male", $K$8="cauc")</f>
        <v>0</v>
      </c>
    </row>
    <row r="23" spans="2:13" x14ac:dyDescent="0.25">
      <c r="B23" s="2" t="s">
        <v>37</v>
      </c>
      <c r="C23" s="2" t="s">
        <v>13</v>
      </c>
      <c r="D23" s="2" t="s">
        <v>7</v>
      </c>
      <c r="E23" s="2" t="s">
        <v>10</v>
      </c>
      <c r="F23" s="2">
        <f t="shared" si="0"/>
        <v>12</v>
      </c>
      <c r="G23" s="2"/>
      <c r="H23" s="2">
        <f t="shared" si="1"/>
        <v>125</v>
      </c>
      <c r="I23" s="7">
        <f>(-0.7048-0.05711*Age_calc+0.004316*Age_calc^2+0.00013194*height_cm_calc^2)</f>
        <v>1.2929465</v>
      </c>
      <c r="J23" t="b">
        <f>AND($K$7="male", $K$8="af amer")</f>
        <v>0</v>
      </c>
    </row>
    <row r="24" spans="2:13" x14ac:dyDescent="0.25">
      <c r="B24" s="2" t="s">
        <v>37</v>
      </c>
      <c r="C24" s="2" t="s">
        <v>13</v>
      </c>
      <c r="D24" s="2" t="s">
        <v>7</v>
      </c>
      <c r="E24" s="2" t="s">
        <v>11</v>
      </c>
      <c r="F24" s="2">
        <f t="shared" si="0"/>
        <v>12</v>
      </c>
      <c r="G24" s="2"/>
      <c r="H24" s="2">
        <f t="shared" si="1"/>
        <v>125</v>
      </c>
      <c r="I24" s="7">
        <f>(-0.8218-0.04248*Age_calc+0.004291*Age_calc^2+0.00015104*height_cm_calc^2)</f>
        <v>1.6463439999999998</v>
      </c>
      <c r="J24" t="b">
        <f>AND($K$7="male", $K$8="hisp")</f>
        <v>0</v>
      </c>
    </row>
    <row r="25" spans="2:13" x14ac:dyDescent="0.25">
      <c r="B25" s="2" t="s">
        <v>37</v>
      </c>
      <c r="C25" s="2" t="s">
        <v>13</v>
      </c>
      <c r="D25" s="2" t="s">
        <v>8</v>
      </c>
      <c r="E25" s="2" t="s">
        <v>9</v>
      </c>
      <c r="F25" s="2">
        <f t="shared" si="0"/>
        <v>12</v>
      </c>
      <c r="G25" s="2"/>
      <c r="H25" s="2">
        <f t="shared" si="1"/>
        <v>125</v>
      </c>
      <c r="I25" s="7">
        <f>(-0.871+0.06537*Age_calc+0.00011496*height_cm_calc^2)</f>
        <v>1.7096899999999999</v>
      </c>
      <c r="J25" t="b">
        <f>AND($K$7="female", $K$8="cauc")</f>
        <v>1</v>
      </c>
    </row>
    <row r="26" spans="2:13" x14ac:dyDescent="0.25">
      <c r="B26" s="2" t="s">
        <v>37</v>
      </c>
      <c r="C26" s="2" t="s">
        <v>13</v>
      </c>
      <c r="D26" s="2" t="s">
        <v>8</v>
      </c>
      <c r="E26" s="2" t="s">
        <v>10</v>
      </c>
      <c r="F26" s="2">
        <f t="shared" si="0"/>
        <v>12</v>
      </c>
      <c r="G26" s="2"/>
      <c r="H26" s="2">
        <f t="shared" si="1"/>
        <v>125</v>
      </c>
      <c r="I26" s="7">
        <f>(-0.963+0.05799*Age_calc+0.00010846*height_cm_calc^2)</f>
        <v>1.4275675000000003</v>
      </c>
      <c r="J26" t="b">
        <f>AND($K$7="female", $K$8="af amer")</f>
        <v>0</v>
      </c>
    </row>
    <row r="27" spans="2:13" x14ac:dyDescent="0.25">
      <c r="B27" s="2" t="s">
        <v>37</v>
      </c>
      <c r="C27" s="2" t="s">
        <v>13</v>
      </c>
      <c r="D27" s="2" t="s">
        <v>8</v>
      </c>
      <c r="E27" s="2" t="s">
        <v>11</v>
      </c>
      <c r="F27" s="2">
        <f t="shared" si="0"/>
        <v>12</v>
      </c>
      <c r="G27" s="2"/>
      <c r="H27" s="2">
        <f t="shared" si="1"/>
        <v>125</v>
      </c>
      <c r="I27" s="7">
        <f>(-0.9641+0.0649*Age_calc+0.00012154*height_cm_calc^2)</f>
        <v>1.7137625000000001</v>
      </c>
      <c r="J27" t="b">
        <f>AND($K$7="female", $K$8="hisp")</f>
        <v>0</v>
      </c>
    </row>
  </sheetData>
  <phoneticPr fontId="0" type="noConversion"/>
  <conditionalFormatting sqref="O8:O9">
    <cfRule type="cellIs" dxfId="7" priority="1" stopIfTrue="1" operator="greaterThan">
      <formula>1.2</formula>
    </cfRule>
    <cfRule type="cellIs" dxfId="6" priority="2" operator="between">
      <formula>80%</formula>
      <formula>120%</formula>
    </cfRule>
    <cfRule type="cellIs" dxfId="5" priority="3" operator="between">
      <formula>70%</formula>
      <formula>79.9999999%</formula>
    </cfRule>
    <cfRule type="cellIs" dxfId="4" priority="4" operator="between">
      <formula>0%</formula>
      <formula>69.99999%</formula>
    </cfRule>
  </conditionalFormatting>
  <dataValidations count="2">
    <dataValidation type="list" allowBlank="1" showInputMessage="1" showErrorMessage="1" sqref="K7" xr:uid="{00000000-0002-0000-0200-000000000000}">
      <formula1>$M$16:$M$17</formula1>
    </dataValidation>
    <dataValidation type="list" allowBlank="1" showInputMessage="1" showErrorMessage="1" sqref="K8" xr:uid="{00000000-0002-0000-0200-000001000000}">
      <formula1>$L$16:$L$18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8"/>
  <sheetViews>
    <sheetView tabSelected="1" workbookViewId="0">
      <selection activeCell="E3" sqref="E3"/>
    </sheetView>
  </sheetViews>
  <sheetFormatPr defaultRowHeight="12.5" outlineLevelRow="1" x14ac:dyDescent="0.25"/>
  <cols>
    <col min="1" max="1" width="9.1796875" style="85"/>
    <col min="2" max="2" width="7" bestFit="1" customWidth="1"/>
    <col min="3" max="3" width="24.7265625" bestFit="1" customWidth="1"/>
    <col min="4" max="4" width="17.7265625" bestFit="1" customWidth="1"/>
    <col min="5" max="5" width="20.81640625" customWidth="1"/>
    <col min="6" max="6" width="4.54296875" bestFit="1" customWidth="1"/>
    <col min="7" max="7" width="37" bestFit="1" customWidth="1"/>
    <col min="8" max="8" width="9.54296875" bestFit="1" customWidth="1"/>
    <col min="9" max="9" width="20.26953125" customWidth="1"/>
    <col min="10" max="10" width="7" bestFit="1" customWidth="1"/>
    <col min="11" max="11" width="12.7265625" style="85" customWidth="1"/>
    <col min="12" max="12" width="7.7265625" style="85" bestFit="1" customWidth="1"/>
    <col min="13" max="13" width="7.1796875" style="86" bestFit="1" customWidth="1"/>
  </cols>
  <sheetData>
    <row r="1" spans="1:16" s="85" customFormat="1" ht="13" thickBot="1" x14ac:dyDescent="0.3">
      <c r="M1" s="86"/>
    </row>
    <row r="2" spans="1:16" ht="30.5" thickTop="1" thickBot="1" x14ac:dyDescent="0.6">
      <c r="B2" s="51"/>
      <c r="C2" s="52"/>
      <c r="D2" s="52"/>
      <c r="E2" s="52"/>
      <c r="F2" s="52"/>
      <c r="G2" s="53"/>
      <c r="H2" s="52"/>
      <c r="I2" s="52"/>
      <c r="J2" s="54"/>
    </row>
    <row r="3" spans="1:16" ht="30.5" thickTop="1" x14ac:dyDescent="0.6">
      <c r="B3" s="55"/>
      <c r="C3" s="56"/>
      <c r="D3" s="57" t="s">
        <v>125</v>
      </c>
      <c r="E3" s="94"/>
      <c r="F3" s="58"/>
      <c r="G3" s="59"/>
      <c r="H3" s="58"/>
      <c r="I3" s="58"/>
      <c r="J3" s="60"/>
    </row>
    <row r="4" spans="1:16" ht="31" x14ac:dyDescent="0.7">
      <c r="B4" s="55"/>
      <c r="C4" s="61"/>
      <c r="D4" s="62" t="s">
        <v>2</v>
      </c>
      <c r="E4" s="91">
        <v>12</v>
      </c>
      <c r="F4" s="58"/>
      <c r="G4" s="59"/>
      <c r="H4" s="58"/>
      <c r="I4" s="58"/>
      <c r="J4" s="60"/>
    </row>
    <row r="5" spans="1:16" ht="31.5" thickBot="1" x14ac:dyDescent="0.75">
      <c r="B5" s="55"/>
      <c r="C5" s="61"/>
      <c r="D5" s="62" t="s">
        <v>4</v>
      </c>
      <c r="E5" s="91">
        <v>125</v>
      </c>
      <c r="F5" s="58"/>
      <c r="G5" s="59"/>
      <c r="H5" s="58"/>
      <c r="I5" s="58"/>
      <c r="J5" s="60"/>
    </row>
    <row r="6" spans="1:16" ht="32" thickTop="1" thickBot="1" x14ac:dyDescent="0.75">
      <c r="B6" s="55"/>
      <c r="C6" s="61"/>
      <c r="D6" s="62" t="s">
        <v>0</v>
      </c>
      <c r="E6" s="91" t="s">
        <v>8</v>
      </c>
      <c r="F6" s="58"/>
      <c r="G6" s="63"/>
      <c r="H6" s="64"/>
      <c r="I6" s="65" t="s">
        <v>131</v>
      </c>
      <c r="J6" s="60"/>
    </row>
    <row r="7" spans="1:16" ht="32" thickTop="1" thickBot="1" x14ac:dyDescent="0.75">
      <c r="B7" s="55"/>
      <c r="C7" s="61"/>
      <c r="D7" s="62" t="s">
        <v>1</v>
      </c>
      <c r="E7" s="92" t="s">
        <v>10</v>
      </c>
      <c r="F7" s="58"/>
      <c r="G7" s="66" t="s">
        <v>129</v>
      </c>
      <c r="H7" s="97">
        <v>250</v>
      </c>
      <c r="I7" s="67">
        <f>H7/D10</f>
        <v>1.0934662113473361</v>
      </c>
      <c r="J7" s="60"/>
    </row>
    <row r="8" spans="1:16" ht="32" thickTop="1" thickBot="1" x14ac:dyDescent="0.75">
      <c r="B8" s="55"/>
      <c r="C8" s="61"/>
      <c r="D8" s="58"/>
      <c r="E8" s="68"/>
      <c r="F8" s="58"/>
      <c r="G8" s="69" t="s">
        <v>130</v>
      </c>
      <c r="H8" s="93">
        <v>1.3</v>
      </c>
      <c r="I8" s="70">
        <f>H8/D11</f>
        <v>0.91063995222642691</v>
      </c>
      <c r="J8" s="60"/>
    </row>
    <row r="9" spans="1:16" ht="31" thickTop="1" thickBot="1" x14ac:dyDescent="0.65">
      <c r="B9" s="55"/>
      <c r="C9" s="71"/>
      <c r="D9" s="72">
        <v>1</v>
      </c>
      <c r="E9" s="73">
        <v>0.8</v>
      </c>
      <c r="F9" s="58"/>
      <c r="G9" s="59"/>
      <c r="H9" s="58"/>
      <c r="I9" s="58"/>
      <c r="J9" s="60"/>
    </row>
    <row r="10" spans="1:16" ht="31.5" thickTop="1" x14ac:dyDescent="0.7">
      <c r="B10" s="55"/>
      <c r="C10" s="74" t="s">
        <v>128</v>
      </c>
      <c r="D10" s="95">
        <f>IF(J22=TRUE,I22,0)+IF(J23=TRUE,I23,0)+IF(J24=TRUE,I24,0)+IF(J25=TRUE,I25,0)+IF(J26=TRUE,I26,0)+IF(J27=TRUE,I27,0)</f>
        <v>228.63075000000001</v>
      </c>
      <c r="E10" s="96">
        <f>D10*0.8</f>
        <v>182.90460000000002</v>
      </c>
      <c r="F10" s="58"/>
      <c r="G10" s="75" t="s">
        <v>133</v>
      </c>
      <c r="H10" s="58"/>
      <c r="I10" s="58"/>
      <c r="J10" s="60"/>
    </row>
    <row r="11" spans="1:16" ht="30.5" thickBot="1" x14ac:dyDescent="0.65">
      <c r="B11" s="55"/>
      <c r="C11" s="76" t="s">
        <v>37</v>
      </c>
      <c r="D11" s="77">
        <f>IF(J28=TRUE,I28,0)+IF(J29=TRUE,I29,0)+IF(J30=TRUE,I30,0)+IF(J31=TRUE,I31,0)+IF(J32=TRUE,I32,0)+IF(J33=TRUE,I33,0)</f>
        <v>1.4275675000000003</v>
      </c>
      <c r="E11" s="78">
        <f>D11*0.8</f>
        <v>1.1420540000000003</v>
      </c>
      <c r="F11" s="58"/>
      <c r="G11" s="79" t="s">
        <v>134</v>
      </c>
      <c r="H11" s="58"/>
      <c r="I11" s="58"/>
      <c r="J11" s="60"/>
    </row>
    <row r="12" spans="1:16" ht="30.5" thickTop="1" thickBot="1" x14ac:dyDescent="0.6">
      <c r="B12" s="80"/>
      <c r="C12" s="81"/>
      <c r="D12" s="82"/>
      <c r="E12" s="81"/>
      <c r="F12" s="81"/>
      <c r="G12" s="83"/>
      <c r="H12" s="81"/>
      <c r="I12" s="81"/>
      <c r="J12" s="84"/>
    </row>
    <row r="13" spans="1:16" s="85" customFormat="1" ht="13" thickTop="1" x14ac:dyDescent="0.25">
      <c r="M13" s="86"/>
    </row>
    <row r="14" spans="1:16" s="85" customFormat="1" x14ac:dyDescent="0.25">
      <c r="H14" s="14"/>
      <c r="I14" s="14"/>
      <c r="J14" s="50"/>
      <c r="K14" s="14"/>
      <c r="L14" s="14"/>
      <c r="M14" s="23"/>
      <c r="N14" s="14"/>
      <c r="O14" s="14"/>
      <c r="P14" s="14"/>
    </row>
    <row r="15" spans="1:16" s="85" customFormat="1" x14ac:dyDescent="0.25">
      <c r="H15" s="14"/>
      <c r="I15" s="14"/>
      <c r="J15" s="50"/>
      <c r="K15" s="14"/>
      <c r="L15" s="14"/>
      <c r="M15" s="23"/>
      <c r="N15" s="14"/>
      <c r="O15" s="14"/>
      <c r="P15" s="14"/>
    </row>
    <row r="16" spans="1:16" s="85" customFormat="1" ht="15.5" x14ac:dyDescent="0.35">
      <c r="H16" s="14"/>
      <c r="I16" s="14"/>
      <c r="J16" s="50"/>
      <c r="K16" s="14"/>
      <c r="L16" s="90" t="s">
        <v>9</v>
      </c>
      <c r="M16" s="90" t="s">
        <v>7</v>
      </c>
      <c r="N16" s="14"/>
      <c r="O16" s="14"/>
      <c r="P16" s="14"/>
    </row>
    <row r="17" spans="2:16" s="85" customFormat="1" ht="15.5" x14ac:dyDescent="0.35">
      <c r="H17" s="14"/>
      <c r="I17" s="14"/>
      <c r="J17" s="50"/>
      <c r="K17" s="14"/>
      <c r="L17" s="90" t="s">
        <v>10</v>
      </c>
      <c r="M17" s="90" t="s">
        <v>8</v>
      </c>
      <c r="N17" s="14"/>
      <c r="O17" s="14"/>
      <c r="P17" s="14"/>
    </row>
    <row r="18" spans="2:16" s="85" customFormat="1" ht="15.5" x14ac:dyDescent="0.35">
      <c r="L18" s="90" t="s">
        <v>11</v>
      </c>
      <c r="M18" s="90"/>
    </row>
    <row r="19" spans="2:16" s="85" customFormat="1" hidden="1" outlineLevel="1" x14ac:dyDescent="0.25">
      <c r="M19" s="86"/>
    </row>
    <row r="20" spans="2:16" s="85" customFormat="1" hidden="1" outlineLevel="1" x14ac:dyDescent="0.25">
      <c r="M20" s="86"/>
    </row>
    <row r="21" spans="2:16" s="85" customFormat="1" ht="13" hidden="1" outlineLevel="1" x14ac:dyDescent="0.3">
      <c r="B21" s="87" t="s">
        <v>107</v>
      </c>
      <c r="C21" s="87" t="s">
        <v>12</v>
      </c>
      <c r="D21" s="87" t="s">
        <v>0</v>
      </c>
      <c r="E21" s="87" t="s">
        <v>1</v>
      </c>
      <c r="F21" s="87" t="s">
        <v>2</v>
      </c>
      <c r="G21" s="87" t="s">
        <v>3</v>
      </c>
      <c r="H21" s="87" t="s">
        <v>4</v>
      </c>
      <c r="I21" s="87" t="s">
        <v>126</v>
      </c>
      <c r="J21" s="87" t="s">
        <v>127</v>
      </c>
      <c r="M21" s="86"/>
    </row>
    <row r="22" spans="2:16" s="85" customFormat="1" hidden="1" outlineLevel="1" x14ac:dyDescent="0.25">
      <c r="B22" s="86" t="s">
        <v>108</v>
      </c>
      <c r="C22" s="86" t="s">
        <v>13</v>
      </c>
      <c r="D22" s="86" t="s">
        <v>7</v>
      </c>
      <c r="E22" s="86" t="s">
        <v>9</v>
      </c>
      <c r="F22" s="86">
        <f t="shared" ref="F22:F33" si="0">Age_calc</f>
        <v>12</v>
      </c>
      <c r="G22" s="86"/>
      <c r="H22" s="86">
        <v>125</v>
      </c>
      <c r="I22" s="88">
        <f>(-0.5962-0.12357*Age_calc+0.013135*Age_calc^2+0.00024962*height_cm_calc^2)*60</f>
        <v>222.76274999999998</v>
      </c>
      <c r="J22" s="85" t="b">
        <f>AND($E$6="male", $E$7="cauc")</f>
        <v>0</v>
      </c>
      <c r="M22" s="86"/>
    </row>
    <row r="23" spans="2:16" s="85" customFormat="1" hidden="1" outlineLevel="1" x14ac:dyDescent="0.25">
      <c r="B23" s="86" t="s">
        <v>108</v>
      </c>
      <c r="C23" s="86" t="s">
        <v>13</v>
      </c>
      <c r="D23" s="86" t="s">
        <v>7</v>
      </c>
      <c r="E23" s="89" t="s">
        <v>10</v>
      </c>
      <c r="F23" s="86">
        <f t="shared" si="0"/>
        <v>12</v>
      </c>
      <c r="G23" s="86"/>
      <c r="H23" s="86">
        <f t="shared" ref="H23:H33" si="1">height_cm_calc</f>
        <v>125</v>
      </c>
      <c r="I23" s="88">
        <f>(-0.2684-0.28016*Age_calc+0.018202*Age_calc^2+0.00027333*height_cm_calc^2)*60</f>
        <v>195.69295499999998</v>
      </c>
      <c r="J23" s="85" t="b">
        <f>AND($E$6="male", $E$7="af amer")</f>
        <v>0</v>
      </c>
      <c r="M23" s="86"/>
    </row>
    <row r="24" spans="2:16" s="85" customFormat="1" hidden="1" outlineLevel="1" x14ac:dyDescent="0.25">
      <c r="B24" s="86" t="s">
        <v>108</v>
      </c>
      <c r="C24" s="86" t="s">
        <v>13</v>
      </c>
      <c r="D24" s="86" t="s">
        <v>7</v>
      </c>
      <c r="E24" s="86" t="s">
        <v>11</v>
      </c>
      <c r="F24" s="86">
        <f t="shared" si="0"/>
        <v>12</v>
      </c>
      <c r="G24" s="86"/>
      <c r="H24" s="86">
        <f t="shared" si="1"/>
        <v>125</v>
      </c>
      <c r="I24" s="88">
        <f>(-0.9537-0.19602*Age_calc+0.014497*Age_calc^2+0.00030243*height_cm_calc^2)*60</f>
        <v>210.425805</v>
      </c>
      <c r="J24" s="85" t="b">
        <f>AND($E$6="male", $E$7="hisp")</f>
        <v>0</v>
      </c>
      <c r="M24" s="86"/>
    </row>
    <row r="25" spans="2:16" s="85" customFormat="1" hidden="1" outlineLevel="1" x14ac:dyDescent="0.25">
      <c r="B25" s="86" t="s">
        <v>108</v>
      </c>
      <c r="C25" s="86" t="s">
        <v>13</v>
      </c>
      <c r="D25" s="86" t="s">
        <v>8</v>
      </c>
      <c r="E25" s="86" t="s">
        <v>9</v>
      </c>
      <c r="F25" s="86">
        <f t="shared" si="0"/>
        <v>12</v>
      </c>
      <c r="G25" s="86"/>
      <c r="H25" s="86">
        <f t="shared" si="1"/>
        <v>125</v>
      </c>
      <c r="I25" s="88">
        <f>(-3.6181+0.60644*Age_calc-0.016846*Age_calc^2+0.00018623*height_cm_calc^2)*60</f>
        <v>248.59198499999994</v>
      </c>
      <c r="J25" s="85" t="b">
        <f>AND($E$6="female", $E$7="cauc")</f>
        <v>0</v>
      </c>
      <c r="M25" s="86"/>
    </row>
    <row r="26" spans="2:16" s="85" customFormat="1" hidden="1" outlineLevel="1" x14ac:dyDescent="0.25">
      <c r="B26" s="86" t="s">
        <v>108</v>
      </c>
      <c r="C26" s="86" t="s">
        <v>13</v>
      </c>
      <c r="D26" s="86" t="s">
        <v>8</v>
      </c>
      <c r="E26" s="86" t="s">
        <v>10</v>
      </c>
      <c r="F26" s="86">
        <f t="shared" si="0"/>
        <v>12</v>
      </c>
      <c r="G26" s="86"/>
      <c r="H26" s="86">
        <f t="shared" si="1"/>
        <v>125</v>
      </c>
      <c r="I26" s="88">
        <f>(-1.2398+0.16375*Age_calc+0.00019746*height_cm_calc^2)*60</f>
        <v>228.63075000000001</v>
      </c>
      <c r="J26" s="85" t="b">
        <f>AND($E$6="female", $E$7="af amer")</f>
        <v>1</v>
      </c>
      <c r="M26" s="86"/>
    </row>
    <row r="27" spans="2:16" s="85" customFormat="1" hidden="1" outlineLevel="1" x14ac:dyDescent="0.25">
      <c r="B27" s="86" t="s">
        <v>108</v>
      </c>
      <c r="C27" s="86" t="s">
        <v>13</v>
      </c>
      <c r="D27" s="86" t="s">
        <v>8</v>
      </c>
      <c r="E27" s="86" t="s">
        <v>11</v>
      </c>
      <c r="F27" s="86">
        <f t="shared" si="0"/>
        <v>12</v>
      </c>
      <c r="G27" s="86"/>
      <c r="H27" s="86">
        <f t="shared" si="1"/>
        <v>125</v>
      </c>
      <c r="I27" s="88">
        <f>(-3.2549+0.47495*Age_calc-0.013193*Age_calc^2+0.00022203*height_cm_calc^2)*60</f>
        <v>240.83560499999999</v>
      </c>
      <c r="J27" s="85" t="b">
        <f>AND($E$6="female", $E$7="hisp")</f>
        <v>0</v>
      </c>
      <c r="M27" s="86"/>
    </row>
    <row r="28" spans="2:16" s="85" customFormat="1" hidden="1" outlineLevel="1" x14ac:dyDescent="0.25">
      <c r="B28" s="86" t="s">
        <v>37</v>
      </c>
      <c r="C28" s="86" t="s">
        <v>13</v>
      </c>
      <c r="D28" s="86" t="s">
        <v>7</v>
      </c>
      <c r="E28" s="86" t="s">
        <v>9</v>
      </c>
      <c r="F28" s="86">
        <f t="shared" si="0"/>
        <v>12</v>
      </c>
      <c r="G28" s="86"/>
      <c r="H28" s="86">
        <f t="shared" si="1"/>
        <v>125</v>
      </c>
      <c r="I28" s="88">
        <f>(-0.7453-0.04106*Age_calc+0.004477*Age_calc^2+0.00014098*height_cm_calc^2)</f>
        <v>1.6094805000000001</v>
      </c>
      <c r="J28" s="85" t="b">
        <f>AND($E$6="male", $E$7="cauc")</f>
        <v>0</v>
      </c>
      <c r="M28" s="86"/>
    </row>
    <row r="29" spans="2:16" s="85" customFormat="1" hidden="1" outlineLevel="1" x14ac:dyDescent="0.25">
      <c r="B29" s="86" t="s">
        <v>37</v>
      </c>
      <c r="C29" s="86" t="s">
        <v>13</v>
      </c>
      <c r="D29" s="86" t="s">
        <v>7</v>
      </c>
      <c r="E29" s="86" t="s">
        <v>10</v>
      </c>
      <c r="F29" s="86">
        <f t="shared" si="0"/>
        <v>12</v>
      </c>
      <c r="G29" s="86"/>
      <c r="H29" s="86">
        <f t="shared" si="1"/>
        <v>125</v>
      </c>
      <c r="I29" s="88">
        <f>(-0.7048-0.05711*Age_calc+0.004316*Age_calc^2+0.00013194*height_cm_calc^2)</f>
        <v>1.2929465</v>
      </c>
      <c r="J29" s="85" t="b">
        <f>AND($E$6="male", $E$7="af amer")</f>
        <v>0</v>
      </c>
      <c r="M29" s="86"/>
    </row>
    <row r="30" spans="2:16" s="85" customFormat="1" hidden="1" outlineLevel="1" x14ac:dyDescent="0.25">
      <c r="B30" s="86" t="s">
        <v>37</v>
      </c>
      <c r="C30" s="86" t="s">
        <v>13</v>
      </c>
      <c r="D30" s="86" t="s">
        <v>7</v>
      </c>
      <c r="E30" s="86" t="s">
        <v>11</v>
      </c>
      <c r="F30" s="86">
        <f t="shared" si="0"/>
        <v>12</v>
      </c>
      <c r="G30" s="86"/>
      <c r="H30" s="86">
        <f t="shared" si="1"/>
        <v>125</v>
      </c>
      <c r="I30" s="88">
        <f>(-0.8218-0.04248*Age_calc+0.004291*Age_calc^2+0.00015104*height_cm_calc^2)</f>
        <v>1.6463439999999998</v>
      </c>
      <c r="J30" s="85" t="b">
        <f>AND($E$6="male", $E$7="hisp")</f>
        <v>0</v>
      </c>
      <c r="M30" s="86"/>
    </row>
    <row r="31" spans="2:16" s="85" customFormat="1" hidden="1" outlineLevel="1" x14ac:dyDescent="0.25">
      <c r="B31" s="86" t="s">
        <v>37</v>
      </c>
      <c r="C31" s="86" t="s">
        <v>13</v>
      </c>
      <c r="D31" s="86" t="s">
        <v>8</v>
      </c>
      <c r="E31" s="86" t="s">
        <v>9</v>
      </c>
      <c r="F31" s="86">
        <f t="shared" si="0"/>
        <v>12</v>
      </c>
      <c r="G31" s="86"/>
      <c r="H31" s="86">
        <f t="shared" si="1"/>
        <v>125</v>
      </c>
      <c r="I31" s="88">
        <f>(-0.871+0.06537*Age_calc+0.00011496*height_cm_calc^2)</f>
        <v>1.7096899999999999</v>
      </c>
      <c r="J31" s="85" t="b">
        <f>AND($E$6="female", $E$7="cauc")</f>
        <v>0</v>
      </c>
      <c r="M31" s="86"/>
    </row>
    <row r="32" spans="2:16" s="85" customFormat="1" hidden="1" outlineLevel="1" x14ac:dyDescent="0.25">
      <c r="B32" s="86" t="s">
        <v>37</v>
      </c>
      <c r="C32" s="86" t="s">
        <v>13</v>
      </c>
      <c r="D32" s="86" t="s">
        <v>8</v>
      </c>
      <c r="E32" s="86" t="s">
        <v>10</v>
      </c>
      <c r="F32" s="86">
        <f t="shared" si="0"/>
        <v>12</v>
      </c>
      <c r="G32" s="86"/>
      <c r="H32" s="86">
        <f t="shared" si="1"/>
        <v>125</v>
      </c>
      <c r="I32" s="88">
        <f>(-0.963+0.05799*Age_calc+0.00010846*height_cm_calc^2)</f>
        <v>1.4275675000000003</v>
      </c>
      <c r="J32" s="85" t="b">
        <f>AND($E$6="female", $E$7="af amer")</f>
        <v>1</v>
      </c>
      <c r="M32" s="86"/>
    </row>
    <row r="33" spans="2:13" s="85" customFormat="1" hidden="1" outlineLevel="1" x14ac:dyDescent="0.25">
      <c r="B33" s="86" t="s">
        <v>37</v>
      </c>
      <c r="C33" s="86" t="s">
        <v>13</v>
      </c>
      <c r="D33" s="86" t="s">
        <v>8</v>
      </c>
      <c r="E33" s="86" t="s">
        <v>11</v>
      </c>
      <c r="F33" s="86">
        <f t="shared" si="0"/>
        <v>12</v>
      </c>
      <c r="G33" s="86"/>
      <c r="H33" s="86">
        <f t="shared" si="1"/>
        <v>125</v>
      </c>
      <c r="I33" s="88">
        <f>(-0.9641+0.0649*Age_calc+0.00012154*height_cm_calc^2)</f>
        <v>1.7137625000000001</v>
      </c>
      <c r="J33" s="85" t="b">
        <f>AND($E$6="female", $E$7="hisp")</f>
        <v>0</v>
      </c>
      <c r="M33" s="86"/>
    </row>
    <row r="34" spans="2:13" s="85" customFormat="1" hidden="1" outlineLevel="1" x14ac:dyDescent="0.25">
      <c r="M34" s="86"/>
    </row>
    <row r="35" spans="2:13" s="85" customFormat="1" hidden="1" outlineLevel="1" x14ac:dyDescent="0.25">
      <c r="M35" s="86"/>
    </row>
    <row r="36" spans="2:13" s="85" customFormat="1" collapsed="1" x14ac:dyDescent="0.25">
      <c r="M36" s="86"/>
    </row>
    <row r="37" spans="2:13" s="85" customFormat="1" x14ac:dyDescent="0.25">
      <c r="M37" s="86"/>
    </row>
    <row r="38" spans="2:13" s="85" customFormat="1" x14ac:dyDescent="0.25">
      <c r="M38" s="86"/>
    </row>
    <row r="39" spans="2:13" s="85" customFormat="1" x14ac:dyDescent="0.25">
      <c r="M39" s="86"/>
    </row>
    <row r="40" spans="2:13" s="85" customFormat="1" x14ac:dyDescent="0.25">
      <c r="M40" s="86"/>
    </row>
    <row r="41" spans="2:13" s="85" customFormat="1" x14ac:dyDescent="0.25">
      <c r="M41" s="86"/>
    </row>
    <row r="42" spans="2:13" s="85" customFormat="1" x14ac:dyDescent="0.25">
      <c r="M42" s="86"/>
    </row>
    <row r="43" spans="2:13" s="85" customFormat="1" x14ac:dyDescent="0.25">
      <c r="M43" s="86"/>
    </row>
    <row r="44" spans="2:13" s="85" customFormat="1" x14ac:dyDescent="0.25">
      <c r="M44" s="86"/>
    </row>
    <row r="45" spans="2:13" s="85" customFormat="1" x14ac:dyDescent="0.25">
      <c r="M45" s="86"/>
    </row>
    <row r="46" spans="2:13" s="85" customFormat="1" x14ac:dyDescent="0.25">
      <c r="M46" s="86"/>
    </row>
    <row r="47" spans="2:13" s="85" customFormat="1" x14ac:dyDescent="0.25">
      <c r="M47" s="86"/>
    </row>
    <row r="48" spans="2:13" s="85" customFormat="1" x14ac:dyDescent="0.25">
      <c r="M48" s="86"/>
    </row>
    <row r="49" spans="13:13" s="85" customFormat="1" x14ac:dyDescent="0.25">
      <c r="M49" s="86"/>
    </row>
    <row r="50" spans="13:13" s="85" customFormat="1" x14ac:dyDescent="0.25">
      <c r="M50" s="86"/>
    </row>
    <row r="51" spans="13:13" s="85" customFormat="1" x14ac:dyDescent="0.25">
      <c r="M51" s="86"/>
    </row>
    <row r="52" spans="13:13" s="85" customFormat="1" x14ac:dyDescent="0.25">
      <c r="M52" s="86"/>
    </row>
    <row r="53" spans="13:13" s="85" customFormat="1" x14ac:dyDescent="0.25">
      <c r="M53" s="86"/>
    </row>
    <row r="54" spans="13:13" s="85" customFormat="1" x14ac:dyDescent="0.25">
      <c r="M54" s="86"/>
    </row>
    <row r="55" spans="13:13" s="85" customFormat="1" x14ac:dyDescent="0.25">
      <c r="M55" s="86"/>
    </row>
    <row r="56" spans="13:13" s="85" customFormat="1" x14ac:dyDescent="0.25">
      <c r="M56" s="86"/>
    </row>
    <row r="57" spans="13:13" s="85" customFormat="1" x14ac:dyDescent="0.25">
      <c r="M57" s="86"/>
    </row>
    <row r="58" spans="13:13" s="85" customFormat="1" x14ac:dyDescent="0.25">
      <c r="M58" s="86"/>
    </row>
    <row r="59" spans="13:13" s="85" customFormat="1" x14ac:dyDescent="0.25">
      <c r="M59" s="86"/>
    </row>
    <row r="60" spans="13:13" s="85" customFormat="1" x14ac:dyDescent="0.25">
      <c r="M60" s="86"/>
    </row>
    <row r="61" spans="13:13" s="85" customFormat="1" x14ac:dyDescent="0.25">
      <c r="M61" s="86"/>
    </row>
    <row r="62" spans="13:13" s="85" customFormat="1" x14ac:dyDescent="0.25">
      <c r="M62" s="86"/>
    </row>
    <row r="63" spans="13:13" s="85" customFormat="1" x14ac:dyDescent="0.25">
      <c r="M63" s="86"/>
    </row>
    <row r="64" spans="13:13" s="85" customFormat="1" x14ac:dyDescent="0.25">
      <c r="M64" s="86"/>
    </row>
    <row r="65" spans="13:13" s="85" customFormat="1" x14ac:dyDescent="0.25">
      <c r="M65" s="86"/>
    </row>
    <row r="66" spans="13:13" s="85" customFormat="1" x14ac:dyDescent="0.25">
      <c r="M66" s="86"/>
    </row>
    <row r="67" spans="13:13" s="85" customFormat="1" x14ac:dyDescent="0.25">
      <c r="M67" s="86"/>
    </row>
    <row r="68" spans="13:13" s="85" customFormat="1" x14ac:dyDescent="0.25">
      <c r="M68" s="86"/>
    </row>
    <row r="69" spans="13:13" s="85" customFormat="1" x14ac:dyDescent="0.25">
      <c r="M69" s="86"/>
    </row>
    <row r="70" spans="13:13" s="85" customFormat="1" x14ac:dyDescent="0.25">
      <c r="M70" s="86"/>
    </row>
    <row r="71" spans="13:13" s="85" customFormat="1" x14ac:dyDescent="0.25">
      <c r="M71" s="86"/>
    </row>
    <row r="72" spans="13:13" s="85" customFormat="1" x14ac:dyDescent="0.25">
      <c r="M72" s="86"/>
    </row>
    <row r="73" spans="13:13" s="85" customFormat="1" x14ac:dyDescent="0.25">
      <c r="M73" s="86"/>
    </row>
    <row r="74" spans="13:13" s="85" customFormat="1" x14ac:dyDescent="0.25">
      <c r="M74" s="86"/>
    </row>
    <row r="75" spans="13:13" s="85" customFormat="1" x14ac:dyDescent="0.25">
      <c r="M75" s="86"/>
    </row>
    <row r="76" spans="13:13" s="85" customFormat="1" x14ac:dyDescent="0.25">
      <c r="M76" s="86"/>
    </row>
    <row r="77" spans="13:13" s="85" customFormat="1" x14ac:dyDescent="0.25">
      <c r="M77" s="86"/>
    </row>
    <row r="78" spans="13:13" s="85" customFormat="1" x14ac:dyDescent="0.25">
      <c r="M78" s="86"/>
    </row>
    <row r="79" spans="13:13" s="85" customFormat="1" x14ac:dyDescent="0.25">
      <c r="M79" s="86"/>
    </row>
    <row r="80" spans="13:13" s="85" customFormat="1" x14ac:dyDescent="0.25">
      <c r="M80" s="86"/>
    </row>
    <row r="81" spans="13:13" s="85" customFormat="1" x14ac:dyDescent="0.25">
      <c r="M81" s="86"/>
    </row>
    <row r="82" spans="13:13" s="85" customFormat="1" x14ac:dyDescent="0.25">
      <c r="M82" s="86"/>
    </row>
    <row r="83" spans="13:13" s="85" customFormat="1" x14ac:dyDescent="0.25">
      <c r="M83" s="86"/>
    </row>
    <row r="84" spans="13:13" s="85" customFormat="1" x14ac:dyDescent="0.25">
      <c r="M84" s="86"/>
    </row>
    <row r="85" spans="13:13" s="85" customFormat="1" x14ac:dyDescent="0.25">
      <c r="M85" s="86"/>
    </row>
    <row r="86" spans="13:13" s="85" customFormat="1" x14ac:dyDescent="0.25">
      <c r="M86" s="86"/>
    </row>
    <row r="87" spans="13:13" s="85" customFormat="1" x14ac:dyDescent="0.25">
      <c r="M87" s="86"/>
    </row>
    <row r="88" spans="13:13" s="85" customFormat="1" x14ac:dyDescent="0.25">
      <c r="M88" s="86"/>
    </row>
    <row r="89" spans="13:13" s="85" customFormat="1" x14ac:dyDescent="0.25">
      <c r="M89" s="86"/>
    </row>
    <row r="90" spans="13:13" s="85" customFormat="1" x14ac:dyDescent="0.25">
      <c r="M90" s="86"/>
    </row>
    <row r="91" spans="13:13" s="85" customFormat="1" x14ac:dyDescent="0.25">
      <c r="M91" s="86"/>
    </row>
    <row r="92" spans="13:13" s="85" customFormat="1" x14ac:dyDescent="0.25">
      <c r="M92" s="86"/>
    </row>
    <row r="93" spans="13:13" s="85" customFormat="1" x14ac:dyDescent="0.25">
      <c r="M93" s="86"/>
    </row>
    <row r="94" spans="13:13" s="85" customFormat="1" x14ac:dyDescent="0.25">
      <c r="M94" s="86"/>
    </row>
    <row r="95" spans="13:13" s="85" customFormat="1" x14ac:dyDescent="0.25">
      <c r="M95" s="86"/>
    </row>
    <row r="96" spans="13:13" s="85" customFormat="1" x14ac:dyDescent="0.25">
      <c r="M96" s="86"/>
    </row>
    <row r="97" spans="13:13" s="85" customFormat="1" x14ac:dyDescent="0.25">
      <c r="M97" s="86"/>
    </row>
    <row r="98" spans="13:13" s="85" customFormat="1" x14ac:dyDescent="0.25">
      <c r="M98" s="86"/>
    </row>
    <row r="99" spans="13:13" s="85" customFormat="1" x14ac:dyDescent="0.25">
      <c r="M99" s="86"/>
    </row>
    <row r="100" spans="13:13" s="85" customFormat="1" x14ac:dyDescent="0.25">
      <c r="M100" s="86"/>
    </row>
    <row r="101" spans="13:13" s="85" customFormat="1" x14ac:dyDescent="0.25">
      <c r="M101" s="86"/>
    </row>
    <row r="102" spans="13:13" s="85" customFormat="1" x14ac:dyDescent="0.25">
      <c r="M102" s="86"/>
    </row>
    <row r="103" spans="13:13" s="85" customFormat="1" x14ac:dyDescent="0.25">
      <c r="M103" s="86"/>
    </row>
    <row r="104" spans="13:13" s="85" customFormat="1" x14ac:dyDescent="0.25">
      <c r="M104" s="86"/>
    </row>
    <row r="105" spans="13:13" s="85" customFormat="1" x14ac:dyDescent="0.25">
      <c r="M105" s="86"/>
    </row>
    <row r="106" spans="13:13" s="85" customFormat="1" x14ac:dyDescent="0.25">
      <c r="M106" s="86"/>
    </row>
    <row r="107" spans="13:13" s="85" customFormat="1" x14ac:dyDescent="0.25">
      <c r="M107" s="86"/>
    </row>
    <row r="108" spans="13:13" s="85" customFormat="1" x14ac:dyDescent="0.25">
      <c r="M108" s="86"/>
    </row>
    <row r="109" spans="13:13" s="85" customFormat="1" x14ac:dyDescent="0.25">
      <c r="M109" s="86"/>
    </row>
    <row r="110" spans="13:13" s="85" customFormat="1" x14ac:dyDescent="0.25">
      <c r="M110" s="86"/>
    </row>
    <row r="111" spans="13:13" s="85" customFormat="1" x14ac:dyDescent="0.25">
      <c r="M111" s="86"/>
    </row>
    <row r="112" spans="13:13" s="85" customFormat="1" x14ac:dyDescent="0.25">
      <c r="M112" s="86"/>
    </row>
    <row r="113" spans="13:13" s="85" customFormat="1" x14ac:dyDescent="0.25">
      <c r="M113" s="86"/>
    </row>
    <row r="114" spans="13:13" s="85" customFormat="1" x14ac:dyDescent="0.25">
      <c r="M114" s="86"/>
    </row>
    <row r="115" spans="13:13" s="85" customFormat="1" x14ac:dyDescent="0.25">
      <c r="M115" s="86"/>
    </row>
    <row r="116" spans="13:13" s="85" customFormat="1" x14ac:dyDescent="0.25">
      <c r="M116" s="86"/>
    </row>
    <row r="117" spans="13:13" s="85" customFormat="1" x14ac:dyDescent="0.25">
      <c r="M117" s="86"/>
    </row>
    <row r="118" spans="13:13" s="85" customFormat="1" x14ac:dyDescent="0.25">
      <c r="M118" s="86"/>
    </row>
    <row r="119" spans="13:13" s="85" customFormat="1" x14ac:dyDescent="0.25">
      <c r="M119" s="86"/>
    </row>
    <row r="120" spans="13:13" s="85" customFormat="1" x14ac:dyDescent="0.25">
      <c r="M120" s="86"/>
    </row>
    <row r="121" spans="13:13" s="85" customFormat="1" x14ac:dyDescent="0.25">
      <c r="M121" s="86"/>
    </row>
    <row r="122" spans="13:13" s="85" customFormat="1" x14ac:dyDescent="0.25">
      <c r="M122" s="86"/>
    </row>
    <row r="123" spans="13:13" s="85" customFormat="1" x14ac:dyDescent="0.25">
      <c r="M123" s="86"/>
    </row>
    <row r="124" spans="13:13" s="85" customFormat="1" x14ac:dyDescent="0.25">
      <c r="M124" s="86"/>
    </row>
    <row r="125" spans="13:13" s="85" customFormat="1" x14ac:dyDescent="0.25">
      <c r="M125" s="86"/>
    </row>
    <row r="126" spans="13:13" s="85" customFormat="1" x14ac:dyDescent="0.25">
      <c r="M126" s="86"/>
    </row>
    <row r="127" spans="13:13" s="85" customFormat="1" x14ac:dyDescent="0.25">
      <c r="M127" s="86"/>
    </row>
    <row r="128" spans="13:13" s="85" customFormat="1" x14ac:dyDescent="0.25">
      <c r="M128" s="86"/>
    </row>
    <row r="129" spans="13:13" s="85" customFormat="1" x14ac:dyDescent="0.25">
      <c r="M129" s="86"/>
    </row>
    <row r="130" spans="13:13" s="85" customFormat="1" x14ac:dyDescent="0.25">
      <c r="M130" s="86"/>
    </row>
    <row r="131" spans="13:13" s="85" customFormat="1" x14ac:dyDescent="0.25">
      <c r="M131" s="86"/>
    </row>
    <row r="132" spans="13:13" s="85" customFormat="1" x14ac:dyDescent="0.25">
      <c r="M132" s="86"/>
    </row>
    <row r="133" spans="13:13" s="85" customFormat="1" x14ac:dyDescent="0.25">
      <c r="M133" s="86"/>
    </row>
    <row r="134" spans="13:13" s="85" customFormat="1" x14ac:dyDescent="0.25">
      <c r="M134" s="86"/>
    </row>
    <row r="135" spans="13:13" s="85" customFormat="1" x14ac:dyDescent="0.25">
      <c r="M135" s="86"/>
    </row>
    <row r="136" spans="13:13" s="85" customFormat="1" x14ac:dyDescent="0.25">
      <c r="M136" s="86"/>
    </row>
    <row r="137" spans="13:13" s="85" customFormat="1" x14ac:dyDescent="0.25">
      <c r="M137" s="86"/>
    </row>
    <row r="138" spans="13:13" s="85" customFormat="1" x14ac:dyDescent="0.25">
      <c r="M138" s="86"/>
    </row>
  </sheetData>
  <sheetProtection password="DF83" sheet="1" selectLockedCells="1"/>
  <phoneticPr fontId="13" type="noConversion"/>
  <conditionalFormatting sqref="I7:I8">
    <cfRule type="cellIs" dxfId="3" priority="1" stopIfTrue="1" operator="greaterThan">
      <formula>1.2</formula>
    </cfRule>
    <cfRule type="cellIs" dxfId="2" priority="2" operator="between">
      <formula>80%</formula>
      <formula>120%</formula>
    </cfRule>
    <cfRule type="cellIs" dxfId="1" priority="3" operator="between">
      <formula>70%</formula>
      <formula>79.9999999%</formula>
    </cfRule>
    <cfRule type="cellIs" dxfId="0" priority="4" operator="between">
      <formula>0%</formula>
      <formula>69.99999%</formula>
    </cfRule>
  </conditionalFormatting>
  <dataValidations count="2">
    <dataValidation type="list" allowBlank="1" showInputMessage="1" showErrorMessage="1" sqref="E7" xr:uid="{00000000-0002-0000-0300-000000000000}">
      <formula1>$L$16:$L$18</formula1>
    </dataValidation>
    <dataValidation type="list" allowBlank="1" showInputMessage="1" showErrorMessage="1" sqref="E6" xr:uid="{00000000-0002-0000-0300-000001000000}">
      <formula1>$M$16:$M$17</formula1>
    </dataValidation>
  </dataValidations>
  <pageMargins left="0.75" right="0.75" top="1" bottom="1" header="0.5" footer="0.5"/>
  <pageSetup scale="8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Sheet1</vt:lpstr>
      <vt:lpstr>Sheet2</vt:lpstr>
      <vt:lpstr>Design Questions</vt:lpstr>
      <vt:lpstr>Calculator</vt:lpstr>
      <vt:lpstr>age</vt:lpstr>
      <vt:lpstr>Calculator!Age_calc</vt:lpstr>
      <vt:lpstr>Age_calc</vt:lpstr>
      <vt:lpstr>height_cm</vt:lpstr>
      <vt:lpstr>Calculator!height_cm_calc</vt:lpstr>
      <vt:lpstr>height_cm_calc</vt:lpstr>
      <vt:lpstr>Calculator!Print_Area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Shiner</dc:creator>
  <cp:lastModifiedBy>Eric Armbrecht</cp:lastModifiedBy>
  <cp:lastPrinted>2011-08-22T13:42:49Z</cp:lastPrinted>
  <dcterms:created xsi:type="dcterms:W3CDTF">2011-07-13T23:43:31Z</dcterms:created>
  <dcterms:modified xsi:type="dcterms:W3CDTF">2019-11-13T22:00:50Z</dcterms:modified>
</cp:coreProperties>
</file>